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winfs-uni.top.gwdg.de\cwinkel1$\Promotion\Stall der Zukunft\Rentabilitätsanalyse\FINAL\"/>
    </mc:Choice>
  </mc:AlternateContent>
  <bookViews>
    <workbookView xWindow="0" yWindow="0" windowWidth="28800" windowHeight="12300" activeTab="2"/>
  </bookViews>
  <sheets>
    <sheet name="Gebäudekosten Sauen inkl. FA" sheetId="8" r:id="rId1"/>
    <sheet name="Gebäudekosten Mast" sheetId="10" r:id="rId2"/>
    <sheet name="Vollkosten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9" l="1"/>
  <c r="F19" i="9"/>
  <c r="E19" i="9"/>
  <c r="D19" i="9"/>
  <c r="F6" i="10" l="1"/>
  <c r="F63" i="8"/>
  <c r="G64" i="8"/>
  <c r="F64" i="8"/>
  <c r="F36" i="10" l="1"/>
  <c r="D36" i="10"/>
  <c r="E7" i="9"/>
  <c r="F7" i="9"/>
  <c r="G7" i="9"/>
  <c r="D7" i="9"/>
  <c r="E30" i="10"/>
  <c r="F30" i="10"/>
  <c r="G30" i="10"/>
  <c r="E31" i="10"/>
  <c r="F31" i="10"/>
  <c r="G31" i="10"/>
  <c r="G36" i="10" s="1"/>
  <c r="D31" i="10"/>
  <c r="D30" i="10"/>
  <c r="G74" i="8"/>
  <c r="F74" i="8"/>
  <c r="E74" i="8"/>
  <c r="D74" i="8"/>
  <c r="E72" i="8"/>
  <c r="F72" i="8"/>
  <c r="G72" i="8"/>
  <c r="D72" i="8"/>
  <c r="M21" i="10"/>
  <c r="M22" i="10" s="1"/>
  <c r="M16" i="10"/>
  <c r="M17" i="10" s="1"/>
  <c r="M11" i="10"/>
  <c r="M12" i="10" s="1"/>
  <c r="M5" i="10"/>
  <c r="M6" i="10" s="1"/>
  <c r="G48" i="10"/>
  <c r="G50" i="10" s="1"/>
  <c r="G52" i="10" s="1"/>
  <c r="F48" i="10"/>
  <c r="F50" i="10" s="1"/>
  <c r="F52" i="10" s="1"/>
  <c r="E48" i="10"/>
  <c r="E50" i="10" s="1"/>
  <c r="E52" i="10" s="1"/>
  <c r="D48" i="10"/>
  <c r="D50" i="10" s="1"/>
  <c r="D52" i="10" s="1"/>
  <c r="E36" i="10" l="1"/>
  <c r="D38" i="10"/>
  <c r="E19" i="10"/>
  <c r="E33" i="10" s="1"/>
  <c r="D19" i="10"/>
  <c r="D33" i="10" s="1"/>
  <c r="F19" i="10"/>
  <c r="F33" i="10" s="1"/>
  <c r="E32" i="10"/>
  <c r="F32" i="10"/>
  <c r="D32" i="10"/>
  <c r="G32" i="10"/>
  <c r="G19" i="10"/>
  <c r="G33" i="10" s="1"/>
  <c r="E17" i="10"/>
  <c r="E34" i="10" s="1"/>
  <c r="F17" i="10"/>
  <c r="F34" i="10" s="1"/>
  <c r="F38" i="10" s="1"/>
  <c r="G6" i="10"/>
  <c r="G17" i="10"/>
  <c r="G34" i="10" s="1"/>
  <c r="G38" i="10" s="1"/>
  <c r="E6" i="10"/>
  <c r="F54" i="10"/>
  <c r="F53" i="10"/>
  <c r="D54" i="10"/>
  <c r="G54" i="10"/>
  <c r="E54" i="10"/>
  <c r="D17" i="10"/>
  <c r="D34" i="10" s="1"/>
  <c r="D9" i="9"/>
  <c r="E9" i="9"/>
  <c r="F9" i="9"/>
  <c r="G9" i="9"/>
  <c r="F77" i="8"/>
  <c r="F70" i="8"/>
  <c r="F47" i="8"/>
  <c r="F46" i="8"/>
  <c r="F44" i="8"/>
  <c r="F43" i="8"/>
  <c r="F45" i="8" s="1"/>
  <c r="G77" i="8"/>
  <c r="E77" i="8"/>
  <c r="D77" i="8"/>
  <c r="K13" i="8"/>
  <c r="K12" i="8"/>
  <c r="E38" i="10" l="1"/>
  <c r="E55" i="10" s="1"/>
  <c r="E18" i="9" s="1"/>
  <c r="E20" i="9" s="1"/>
  <c r="G55" i="10"/>
  <c r="G18" i="9" s="1"/>
  <c r="G20" i="9" s="1"/>
  <c r="D55" i="10"/>
  <c r="D18" i="9" s="1"/>
  <c r="D20" i="9" s="1"/>
  <c r="F55" i="10"/>
  <c r="F18" i="9" s="1"/>
  <c r="F20" i="9" s="1"/>
  <c r="D6" i="10"/>
  <c r="G53" i="10"/>
  <c r="D53" i="10"/>
  <c r="E53" i="10"/>
  <c r="F21" i="9" l="1"/>
  <c r="G21" i="9"/>
  <c r="E21" i="9"/>
  <c r="N21" i="8"/>
  <c r="G75" i="8" s="1"/>
  <c r="J22" i="8"/>
  <c r="M20" i="8"/>
  <c r="F55" i="8" s="1"/>
  <c r="M19" i="8"/>
  <c r="F54" i="8" s="1"/>
  <c r="M18" i="8"/>
  <c r="F53" i="8" s="1"/>
  <c r="G23" i="8" l="1"/>
  <c r="F76" i="8"/>
  <c r="F79" i="8" s="1"/>
  <c r="F25" i="8"/>
  <c r="F23" i="8"/>
  <c r="M21" i="8"/>
  <c r="G70" i="8"/>
  <c r="E70" i="8"/>
  <c r="D70" i="8"/>
  <c r="G47" i="8"/>
  <c r="E47" i="8"/>
  <c r="D47" i="8"/>
  <c r="G46" i="8"/>
  <c r="G54" i="8" s="1"/>
  <c r="E46" i="8"/>
  <c r="D46" i="8"/>
  <c r="G44" i="8"/>
  <c r="E44" i="8"/>
  <c r="D44" i="8"/>
  <c r="G43" i="8"/>
  <c r="E43" i="8"/>
  <c r="D43" i="8"/>
  <c r="G25" i="8"/>
  <c r="J15" i="8"/>
  <c r="M13" i="8"/>
  <c r="M12" i="8"/>
  <c r="M11" i="8"/>
  <c r="J8" i="8"/>
  <c r="M6" i="8"/>
  <c r="M5" i="8"/>
  <c r="M4" i="8"/>
  <c r="F6" i="8" l="1"/>
  <c r="G50" i="8"/>
  <c r="G58" i="8" s="1"/>
  <c r="F48" i="8"/>
  <c r="F56" i="8" s="1"/>
  <c r="F49" i="8"/>
  <c r="F57" i="8" s="1"/>
  <c r="D23" i="8"/>
  <c r="E25" i="8"/>
  <c r="E23" i="8"/>
  <c r="D76" i="8"/>
  <c r="D79" i="8" s="1"/>
  <c r="D55" i="8"/>
  <c r="E55" i="8"/>
  <c r="M14" i="8"/>
  <c r="G45" i="8"/>
  <c r="G53" i="8" s="1"/>
  <c r="M7" i="8"/>
  <c r="D49" i="8" s="1"/>
  <c r="G76" i="8"/>
  <c r="G79" i="8" s="1"/>
  <c r="E76" i="8"/>
  <c r="E79" i="8" s="1"/>
  <c r="G55" i="8"/>
  <c r="D45" i="8"/>
  <c r="D53" i="8" s="1"/>
  <c r="D54" i="8"/>
  <c r="E45" i="8"/>
  <c r="E53" i="8" s="1"/>
  <c r="E54" i="8"/>
  <c r="D25" i="8"/>
  <c r="F50" i="8" l="1"/>
  <c r="F58" i="8" s="1"/>
  <c r="E50" i="8"/>
  <c r="E58" i="8" s="1"/>
  <c r="G6" i="8"/>
  <c r="D48" i="8"/>
  <c r="D56" i="8" s="1"/>
  <c r="D50" i="8"/>
  <c r="D58" i="8" s="1"/>
  <c r="D6" i="8"/>
  <c r="E6" i="8"/>
  <c r="D57" i="8"/>
  <c r="E49" i="8"/>
  <c r="E57" i="8" s="1"/>
  <c r="E48" i="8"/>
  <c r="E56" i="8" s="1"/>
  <c r="G48" i="8"/>
  <c r="G56" i="8" s="1"/>
  <c r="G49" i="8"/>
  <c r="G57" i="8" s="1"/>
  <c r="F60" i="8" l="1"/>
  <c r="D60" i="8"/>
  <c r="D81" i="8" s="1"/>
  <c r="E60" i="8"/>
  <c r="E61" i="8" s="1"/>
  <c r="E64" i="8" s="1"/>
  <c r="G60" i="8"/>
  <c r="G81" i="8" s="1"/>
  <c r="D84" i="8" l="1"/>
  <c r="D85" i="8" s="1"/>
  <c r="D8" i="9" s="1"/>
  <c r="D10" i="9" s="1"/>
  <c r="D83" i="8"/>
  <c r="D82" i="8"/>
  <c r="G84" i="8"/>
  <c r="G83" i="8"/>
  <c r="G82" i="8"/>
  <c r="F62" i="8"/>
  <c r="F66" i="8" s="1"/>
  <c r="F67" i="8" s="1"/>
  <c r="F61" i="8"/>
  <c r="F81" i="8"/>
  <c r="D61" i="8"/>
  <c r="D62" i="8"/>
  <c r="D66" i="8" s="1"/>
  <c r="D67" i="8" s="1"/>
  <c r="G62" i="8"/>
  <c r="G66" i="8" s="1"/>
  <c r="G67" i="8" s="1"/>
  <c r="E81" i="8"/>
  <c r="E62" i="8"/>
  <c r="E66" i="8" s="1"/>
  <c r="E67" i="8" s="1"/>
  <c r="G61" i="8"/>
  <c r="G8" i="9" l="1"/>
  <c r="G10" i="9" s="1"/>
  <c r="G85" i="8"/>
  <c r="E84" i="8"/>
  <c r="E82" i="8"/>
  <c r="E83" i="8"/>
  <c r="F82" i="8"/>
  <c r="F84" i="8"/>
  <c r="F83" i="8"/>
  <c r="G63" i="8"/>
  <c r="E63" i="8"/>
  <c r="G11" i="9" l="1"/>
  <c r="F85" i="8"/>
  <c r="F8" i="9" s="1"/>
  <c r="F10" i="9" s="1"/>
  <c r="E85" i="8"/>
  <c r="E8" i="9" s="1"/>
  <c r="E10" i="9" s="1"/>
  <c r="F11" i="9" l="1"/>
  <c r="E11" i="9"/>
</calcChain>
</file>

<file path=xl/sharedStrings.xml><?xml version="1.0" encoding="utf-8"?>
<sst xmlns="http://schemas.openxmlformats.org/spreadsheetml/2006/main" count="343" uniqueCount="155">
  <si>
    <t>Quelle: geändert nach Gesamtbetrieblichen Haltungskonzept Schwein</t>
  </si>
  <si>
    <t>Festkostenermittlung</t>
  </si>
  <si>
    <t>Kostenelement</t>
  </si>
  <si>
    <t>Einheit</t>
  </si>
  <si>
    <t>konventionell</t>
  </si>
  <si>
    <t>Abferkelbereich</t>
  </si>
  <si>
    <t>Deckzentrum</t>
  </si>
  <si>
    <t>Wartestall</t>
  </si>
  <si>
    <t>Futterküche</t>
  </si>
  <si>
    <t>Besucherraum</t>
  </si>
  <si>
    <r>
      <t>m</t>
    </r>
    <r>
      <rPr>
        <b/>
        <sz val="11"/>
        <color theme="1"/>
        <rFont val="Calibri"/>
        <family val="2"/>
      </rPr>
      <t>²</t>
    </r>
  </si>
  <si>
    <t>€/Platz</t>
  </si>
  <si>
    <t>€</t>
  </si>
  <si>
    <t>Außenanlagen</t>
  </si>
  <si>
    <t>Kosten</t>
  </si>
  <si>
    <r>
      <t>m</t>
    </r>
    <r>
      <rPr>
        <b/>
        <sz val="11"/>
        <color theme="1"/>
        <rFont val="Calibri"/>
        <family val="2"/>
      </rPr>
      <t>²</t>
    </r>
    <r>
      <rPr>
        <b/>
        <sz val="11"/>
        <color theme="1"/>
        <rFont val="Calibri"/>
        <family val="2"/>
        <scheme val="minor"/>
      </rPr>
      <t>/Platz</t>
    </r>
  </si>
  <si>
    <t>€/m²</t>
  </si>
  <si>
    <t>Sauen</t>
  </si>
  <si>
    <t>%</t>
  </si>
  <si>
    <t>Deckstall</t>
  </si>
  <si>
    <t>SDZ</t>
  </si>
  <si>
    <t>Ferkel</t>
  </si>
  <si>
    <t>Nettobuchtenfläche</t>
  </si>
  <si>
    <t>Servicefläche</t>
  </si>
  <si>
    <t>Bruttofläche</t>
  </si>
  <si>
    <t>Restliche Servicefläche</t>
  </si>
  <si>
    <t>Sonstige Serviceflächen</t>
  </si>
  <si>
    <t>Kosten Servicefläche</t>
  </si>
  <si>
    <t>Kosten Nettobuchtenfläche</t>
  </si>
  <si>
    <t>Kosten Bruttofläche</t>
  </si>
  <si>
    <t>Abferkelstall</t>
  </si>
  <si>
    <t>Plätze/Abteil</t>
  </si>
  <si>
    <t>m²/Sau</t>
  </si>
  <si>
    <t>m²/Ferkel</t>
  </si>
  <si>
    <t>Hygieneschleuse, Büro</t>
  </si>
  <si>
    <t>Abferkelbereich netto</t>
  </si>
  <si>
    <t>Abferkelbereich Service</t>
  </si>
  <si>
    <t>Plätze</t>
  </si>
  <si>
    <t>Kosten Stalleinrichtung</t>
  </si>
  <si>
    <t>m²/Warteplatz</t>
  </si>
  <si>
    <t>Güllelager</t>
  </si>
  <si>
    <t>€/m³</t>
  </si>
  <si>
    <t>m³/Sau</t>
  </si>
  <si>
    <t>Strohlager</t>
  </si>
  <si>
    <t>Kosten Abferkelplatz</t>
  </si>
  <si>
    <t xml:space="preserve">Kosten Platz im Deckzentrum </t>
  </si>
  <si>
    <t>Kosten Platz Wartestall</t>
  </si>
  <si>
    <t>€/Sau</t>
  </si>
  <si>
    <t>Annahmen _Konv.</t>
  </si>
  <si>
    <t>gesamt Plätze</t>
  </si>
  <si>
    <t>Sauenzahl</t>
  </si>
  <si>
    <t>Gesamtkosten Abferkelstall</t>
  </si>
  <si>
    <t>Gesamtkosten Deckzentrum</t>
  </si>
  <si>
    <t>Gesamtkosten Wartestall</t>
  </si>
  <si>
    <t>Reserve (%)</t>
  </si>
  <si>
    <t>Gesamtkosten Serviceflächen</t>
  </si>
  <si>
    <t>Gesamtkosten Gülle</t>
  </si>
  <si>
    <t>Gesamtkosten Strohlager</t>
  </si>
  <si>
    <t>Annahmen _SD1.</t>
  </si>
  <si>
    <t>m³</t>
  </si>
  <si>
    <t>m²</t>
  </si>
  <si>
    <t>Güllelager(außen)/Sau</t>
  </si>
  <si>
    <t xml:space="preserve">Güllelager(außen) </t>
  </si>
  <si>
    <t>Servicefläche Futtertisch</t>
  </si>
  <si>
    <t>€/prod. Sau</t>
  </si>
  <si>
    <t xml:space="preserve">Diff. zu konv. </t>
  </si>
  <si>
    <t>Festkosten/Jahr (Näherung)</t>
  </si>
  <si>
    <t>€/Ferkel</t>
  </si>
  <si>
    <t>3-Wochenrhythmus - 4-wöchige Säugezeit</t>
  </si>
  <si>
    <t>3-WR / 4 W SZ</t>
  </si>
  <si>
    <t>abg. Ferkel je Wurf</t>
  </si>
  <si>
    <t>Benötigte FA-Plätze (+10%)</t>
  </si>
  <si>
    <t>Kosten je m² FA</t>
  </si>
  <si>
    <t>Gesamtkosten FA</t>
  </si>
  <si>
    <t>Gesamtkosten FE + FA</t>
  </si>
  <si>
    <t>Platz je Ferkel</t>
  </si>
  <si>
    <t>3-WR / 1 Woche FA</t>
  </si>
  <si>
    <t>1 Wo FA</t>
  </si>
  <si>
    <t>Ferkelaufzuchstall</t>
  </si>
  <si>
    <t>FA-Plätze</t>
  </si>
  <si>
    <t>Flächenbedarf inkl. FA insgesamt</t>
  </si>
  <si>
    <t>geschlossene Strohhalle</t>
  </si>
  <si>
    <t>Gesamtkosten ohne FA</t>
  </si>
  <si>
    <t>Kosten / Stallplatz ohne FA</t>
  </si>
  <si>
    <t>Kosten/ prod. Sau ohne FA</t>
  </si>
  <si>
    <t>inkl. Ferkelaufzucht</t>
  </si>
  <si>
    <t>Strohlagerhalle(außen)</t>
  </si>
  <si>
    <t>Strohlagerhalle(außen)/Sau</t>
  </si>
  <si>
    <t>inkl. FA</t>
  </si>
  <si>
    <t>SDZ (inkl. FA)</t>
  </si>
  <si>
    <t>Bewegungsbucht</t>
  </si>
  <si>
    <t>Gruppensäugen</t>
  </si>
  <si>
    <t>1 W. FA in Abf.</t>
  </si>
  <si>
    <t>3-WR / 4 Wo. Sä.d.</t>
  </si>
  <si>
    <t>3-Wochenrhythmus + 4-wöchige Säugedauer</t>
  </si>
  <si>
    <t>Gebäudekosten Ferkelerzeugung inkl. Aufzucht</t>
  </si>
  <si>
    <t>Kostenart</t>
  </si>
  <si>
    <t>Arbeitserledigung (FE+FA)</t>
  </si>
  <si>
    <t>Arbeitserledigungskosten (FE + FA)</t>
  </si>
  <si>
    <t>Kosten je Arbeitsstunde</t>
  </si>
  <si>
    <t>Zwischensumme Kosten je Ferkel</t>
  </si>
  <si>
    <t>€/ Ferkel</t>
  </si>
  <si>
    <t>€/ Akh</t>
  </si>
  <si>
    <t>Diff zu Konventionell</t>
  </si>
  <si>
    <t>Vollkostenrechnung je Schwein (netto)</t>
  </si>
  <si>
    <t>Flächenbedarf Mast insgesamt</t>
  </si>
  <si>
    <t>Mast</t>
  </si>
  <si>
    <t>Annahmen _JvB</t>
  </si>
  <si>
    <t>m²/Mastplatz</t>
  </si>
  <si>
    <r>
      <t>m</t>
    </r>
    <r>
      <rPr>
        <b/>
        <sz val="11"/>
        <color theme="1"/>
        <rFont val="Calibri"/>
        <family val="2"/>
      </rPr>
      <t>²</t>
    </r>
    <r>
      <rPr>
        <b/>
        <sz val="11"/>
        <color theme="1"/>
        <rFont val="Calibri"/>
        <family val="2"/>
        <scheme val="minor"/>
      </rPr>
      <t>/Mastplatz</t>
    </r>
  </si>
  <si>
    <t>m²/Mastschwein</t>
  </si>
  <si>
    <t>Güllelager(außen)/Platz</t>
  </si>
  <si>
    <t>m³/Mastschwein</t>
  </si>
  <si>
    <t>Mast netto</t>
  </si>
  <si>
    <t>Mast Service</t>
  </si>
  <si>
    <t>Kosten Mastplatz</t>
  </si>
  <si>
    <t>Gesamtkosten Maststall</t>
  </si>
  <si>
    <t>Platz je Mastschwein</t>
  </si>
  <si>
    <t>Kosten je m² Mast</t>
  </si>
  <si>
    <t>Gesamtkosten Mast</t>
  </si>
  <si>
    <t>Plätze/Bucht</t>
  </si>
  <si>
    <t>Buchten</t>
  </si>
  <si>
    <t>Anzahl Buchten</t>
  </si>
  <si>
    <t>Durchgänge</t>
  </si>
  <si>
    <t>Gesamtplätze</t>
  </si>
  <si>
    <t>Mastschweine/Jahr</t>
  </si>
  <si>
    <t>Annahmen _Innenhof</t>
  </si>
  <si>
    <t>Annahmen _Schleuse</t>
  </si>
  <si>
    <t>abg. Ferkel je Sau</t>
  </si>
  <si>
    <t>aufgez. Ferkel je Sau nach FA</t>
  </si>
  <si>
    <t>Ferkelverluste in der Aufzucht</t>
  </si>
  <si>
    <t>Durchgänge in der Ferkelaufzucht</t>
  </si>
  <si>
    <t xml:space="preserve">Benötigte FA-Plätze insg. </t>
  </si>
  <si>
    <t xml:space="preserve">FA-Plätze in Abferkelbucht </t>
  </si>
  <si>
    <t>Auslauf</t>
  </si>
  <si>
    <t>Kosten Auslauf</t>
  </si>
  <si>
    <t>Mast Auslauf</t>
  </si>
  <si>
    <t>€/Mastschwein</t>
  </si>
  <si>
    <t>Innenhof</t>
  </si>
  <si>
    <t>Variable Kosten (FE + FA) - inkl. Strohkosten</t>
  </si>
  <si>
    <t>Arbeitserledigung (Mast)</t>
  </si>
  <si>
    <t>Akh/ Sau</t>
  </si>
  <si>
    <t>Akh/ Mastplatz</t>
  </si>
  <si>
    <t>€/ Schwein</t>
  </si>
  <si>
    <t>Zwischensumme Kosten je Mastschwein</t>
  </si>
  <si>
    <t>Gebäudekosten Mast</t>
  </si>
  <si>
    <t>Großgruppe</t>
  </si>
  <si>
    <t>FE+FA</t>
  </si>
  <si>
    <t>Erschließung/Architekt</t>
  </si>
  <si>
    <t>Kosten / Stallplatz mit FA</t>
  </si>
  <si>
    <t>Kosten/ prod. Sau mit FA</t>
  </si>
  <si>
    <t>SDZ 1</t>
  </si>
  <si>
    <t>SDZ 2</t>
  </si>
  <si>
    <t>SDZ1</t>
  </si>
  <si>
    <t>Variable Kosten Mast (inkl. Strohkosten, inkl. konv. Ferkel)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</si>
</sst>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0" fillId="0" borderId="1" xfId="0" applyBorder="1"/>
    <xf numFmtId="0" fontId="0" fillId="3" borderId="4" xfId="0" applyFill="1" applyBorder="1"/>
    <xf numFmtId="0" fontId="2" fillId="3" borderId="6" xfId="0" applyFont="1" applyFill="1" applyBorder="1"/>
    <xf numFmtId="0" fontId="0" fillId="0" borderId="7" xfId="0" applyBorder="1"/>
    <xf numFmtId="0" fontId="2" fillId="0" borderId="7" xfId="0" applyFont="1" applyBorder="1"/>
    <xf numFmtId="0" fontId="0" fillId="0" borderId="8" xfId="0" applyBorder="1"/>
    <xf numFmtId="0" fontId="0" fillId="0" borderId="11" xfId="0" applyBorder="1"/>
    <xf numFmtId="2" fontId="0" fillId="0" borderId="0" xfId="0" applyNumberFormat="1"/>
    <xf numFmtId="0" fontId="0" fillId="0" borderId="5" xfId="0" applyBorder="1"/>
    <xf numFmtId="164" fontId="0" fillId="0" borderId="0" xfId="0" applyNumberFormat="1"/>
    <xf numFmtId="0" fontId="0" fillId="0" borderId="16" xfId="0" applyBorder="1"/>
    <xf numFmtId="0" fontId="0" fillId="0" borderId="17" xfId="0" applyBorder="1"/>
    <xf numFmtId="0" fontId="2" fillId="0" borderId="18" xfId="0" applyFont="1" applyBorder="1"/>
    <xf numFmtId="0" fontId="2" fillId="0" borderId="15" xfId="0" applyFont="1" applyBorder="1"/>
    <xf numFmtId="0" fontId="2" fillId="0" borderId="1" xfId="0" applyFont="1" applyBorder="1"/>
    <xf numFmtId="0" fontId="0" fillId="2" borderId="11" xfId="0" applyFill="1" applyBorder="1"/>
    <xf numFmtId="0" fontId="2" fillId="0" borderId="11" xfId="0" applyFont="1" applyBorder="1"/>
    <xf numFmtId="0" fontId="3" fillId="3" borderId="14" xfId="0" applyFont="1" applyFill="1" applyBorder="1"/>
    <xf numFmtId="0" fontId="2" fillId="3" borderId="12" xfId="0" applyFont="1" applyFill="1" applyBorder="1"/>
    <xf numFmtId="0" fontId="5" fillId="2" borderId="11" xfId="0" applyFont="1" applyFill="1" applyBorder="1"/>
    <xf numFmtId="2" fontId="0" fillId="0" borderId="11" xfId="0" applyNumberFormat="1" applyBorder="1"/>
    <xf numFmtId="0" fontId="2" fillId="0" borderId="10" xfId="0" applyFont="1" applyBorder="1"/>
    <xf numFmtId="0" fontId="2" fillId="0" borderId="9" xfId="0" applyFont="1" applyBorder="1"/>
    <xf numFmtId="1" fontId="0" fillId="0" borderId="0" xfId="0" applyNumberFormat="1"/>
    <xf numFmtId="0" fontId="2" fillId="0" borderId="17" xfId="0" applyFont="1" applyBorder="1"/>
    <xf numFmtId="9" fontId="0" fillId="0" borderId="7" xfId="1" applyFont="1" applyBorder="1"/>
    <xf numFmtId="9" fontId="0" fillId="0" borderId="0" xfId="1" applyFont="1"/>
    <xf numFmtId="0" fontId="2" fillId="5" borderId="19" xfId="0" applyFont="1" applyFill="1" applyBorder="1"/>
    <xf numFmtId="0" fontId="0" fillId="5" borderId="19" xfId="0" applyFill="1" applyBorder="1"/>
    <xf numFmtId="1" fontId="0" fillId="0" borderId="11" xfId="0" applyNumberFormat="1" applyBorder="1"/>
    <xf numFmtId="0" fontId="2" fillId="4" borderId="0" xfId="0" applyFont="1" applyFill="1"/>
    <xf numFmtId="0" fontId="0" fillId="4" borderId="0" xfId="0" applyFill="1"/>
    <xf numFmtId="1" fontId="0" fillId="4" borderId="0" xfId="0" applyNumberFormat="1" applyFill="1"/>
    <xf numFmtId="0" fontId="7" fillId="0" borderId="13" xfId="0" applyFont="1" applyBorder="1"/>
    <xf numFmtId="0" fontId="7" fillId="0" borderId="1" xfId="0" applyFont="1" applyBorder="1"/>
    <xf numFmtId="0" fontId="6" fillId="0" borderId="1" xfId="0" applyFont="1" applyBorder="1"/>
    <xf numFmtId="0" fontId="7" fillId="0" borderId="20" xfId="0" applyFont="1" applyBorder="1"/>
    <xf numFmtId="0" fontId="7" fillId="0" borderId="8" xfId="0" applyFont="1" applyBorder="1"/>
    <xf numFmtId="0" fontId="6" fillId="0" borderId="8" xfId="0" applyFont="1" applyBorder="1"/>
    <xf numFmtId="1" fontId="6" fillId="0" borderId="8" xfId="0" applyNumberFormat="1" applyFont="1" applyBorder="1"/>
    <xf numFmtId="0" fontId="7" fillId="0" borderId="2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" fontId="6" fillId="0" borderId="8" xfId="0" applyNumberFormat="1" applyFont="1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/>
    </xf>
    <xf numFmtId="1" fontId="6" fillId="0" borderId="0" xfId="0" applyNumberFormat="1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/>
    <xf numFmtId="9" fontId="0" fillId="0" borderId="0" xfId="1" applyFont="1" applyBorder="1"/>
    <xf numFmtId="0" fontId="0" fillId="0" borderId="5" xfId="0" applyBorder="1" applyAlignment="1">
      <alignment horizontal="center"/>
    </xf>
    <xf numFmtId="0" fontId="0" fillId="0" borderId="8" xfId="0" applyFill="1" applyBorder="1"/>
    <xf numFmtId="0" fontId="0" fillId="0" borderId="1" xfId="0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64" fontId="0" fillId="0" borderId="11" xfId="0" applyNumberFormat="1" applyBorder="1"/>
    <xf numFmtId="0" fontId="6" fillId="0" borderId="0" xfId="0" applyFont="1"/>
    <xf numFmtId="0" fontId="7" fillId="0" borderId="0" xfId="0" applyFont="1"/>
    <xf numFmtId="0" fontId="2" fillId="3" borderId="11" xfId="0" applyFont="1" applyFill="1" applyBorder="1"/>
    <xf numFmtId="0" fontId="0" fillId="3" borderId="5" xfId="0" applyFill="1" applyBorder="1"/>
    <xf numFmtId="0" fontId="0" fillId="3" borderId="0" xfId="0" applyFill="1" applyBorder="1"/>
    <xf numFmtId="0" fontId="0" fillId="0" borderId="0" xfId="0" applyAlignment="1">
      <alignment horizontal="right"/>
    </xf>
    <xf numFmtId="0" fontId="0" fillId="3" borderId="4" xfId="0" applyFill="1" applyBorder="1" applyAlignment="1">
      <alignment horizontal="right"/>
    </xf>
    <xf numFmtId="0" fontId="6" fillId="0" borderId="0" xfId="0" applyFont="1" applyAlignment="1">
      <alignment horizontal="right"/>
    </xf>
    <xf numFmtId="2" fontId="6" fillId="0" borderId="0" xfId="0" applyNumberFormat="1" applyFont="1"/>
    <xf numFmtId="164" fontId="0" fillId="0" borderId="7" xfId="1" applyNumberFormat="1" applyFont="1" applyBorder="1"/>
    <xf numFmtId="0" fontId="2" fillId="0" borderId="0" xfId="0" applyFont="1" applyBorder="1"/>
    <xf numFmtId="0" fontId="2" fillId="0" borderId="16" xfId="0" applyFont="1" applyBorder="1"/>
    <xf numFmtId="1" fontId="6" fillId="0" borderId="1" xfId="0" applyNumberFormat="1" applyFont="1" applyBorder="1"/>
    <xf numFmtId="1" fontId="0" fillId="0" borderId="7" xfId="0" applyNumberFormat="1" applyBorder="1"/>
    <xf numFmtId="1" fontId="0" fillId="0" borderId="0" xfId="0" applyNumberFormat="1" applyBorder="1"/>
    <xf numFmtId="0" fontId="7" fillId="4" borderId="0" xfId="0" applyFont="1" applyFill="1"/>
    <xf numFmtId="0" fontId="0" fillId="0" borderId="0" xfId="0" applyFont="1"/>
    <xf numFmtId="0" fontId="2" fillId="0" borderId="2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" fontId="0" fillId="0" borderId="8" xfId="0" applyNumberFormat="1" applyFont="1" applyBorder="1" applyAlignment="1">
      <alignment vertical="center"/>
    </xf>
    <xf numFmtId="0" fontId="2" fillId="0" borderId="20" xfId="0" applyFont="1" applyBorder="1"/>
    <xf numFmtId="0" fontId="2" fillId="0" borderId="8" xfId="0" applyFont="1" applyBorder="1"/>
    <xf numFmtId="1" fontId="0" fillId="0" borderId="8" xfId="0" applyNumberFormat="1" applyFont="1" applyBorder="1"/>
    <xf numFmtId="0" fontId="2" fillId="0" borderId="13" xfId="0" applyFont="1" applyBorder="1"/>
    <xf numFmtId="1" fontId="0" fillId="0" borderId="1" xfId="0" applyNumberFormat="1" applyFont="1" applyBorder="1"/>
    <xf numFmtId="0" fontId="0" fillId="0" borderId="0" xfId="0" applyFont="1" applyAlignment="1">
      <alignment horizontal="right"/>
    </xf>
    <xf numFmtId="164" fontId="0" fillId="0" borderId="0" xfId="0" applyNumberFormat="1" applyFont="1"/>
    <xf numFmtId="0" fontId="0" fillId="0" borderId="5" xfId="0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85"/>
  <sheetViews>
    <sheetView zoomScaleNormal="100" workbookViewId="0">
      <selection activeCell="E8" sqref="E8"/>
    </sheetView>
  </sheetViews>
  <sheetFormatPr baseColWidth="10" defaultRowHeight="15" x14ac:dyDescent="0.25"/>
  <cols>
    <col min="2" max="2" width="27.85546875" customWidth="1"/>
    <col min="3" max="3" width="14.42578125" customWidth="1"/>
    <col min="4" max="4" width="12.42578125" customWidth="1"/>
    <col min="5" max="6" width="16.7109375" customWidth="1"/>
    <col min="7" max="7" width="16.42578125" customWidth="1"/>
    <col min="9" max="10" width="17.5703125" customWidth="1"/>
    <col min="11" max="13" width="13.5703125" customWidth="1"/>
  </cols>
  <sheetData>
    <row r="1" spans="2:14" x14ac:dyDescent="0.25">
      <c r="B1" t="s">
        <v>0</v>
      </c>
    </row>
    <row r="2" spans="2:14" ht="15.75" thickBot="1" x14ac:dyDescent="0.3">
      <c r="D2" s="86" t="s">
        <v>69</v>
      </c>
      <c r="E2" s="86"/>
      <c r="F2" s="86"/>
      <c r="G2" s="45" t="s">
        <v>76</v>
      </c>
      <c r="I2" t="s">
        <v>68</v>
      </c>
    </row>
    <row r="3" spans="2:14" ht="18.75" x14ac:dyDescent="0.3">
      <c r="B3" s="19" t="s">
        <v>1</v>
      </c>
      <c r="C3" s="3"/>
      <c r="D3" s="55" t="s">
        <v>4</v>
      </c>
      <c r="E3" s="56" t="s">
        <v>89</v>
      </c>
      <c r="F3" s="56" t="s">
        <v>89</v>
      </c>
      <c r="G3" s="56" t="s">
        <v>89</v>
      </c>
      <c r="I3" s="15" t="s">
        <v>48</v>
      </c>
      <c r="J3" s="7" t="s">
        <v>17</v>
      </c>
      <c r="K3" s="7" t="s">
        <v>31</v>
      </c>
      <c r="L3" s="7" t="s">
        <v>54</v>
      </c>
      <c r="M3" s="7" t="s">
        <v>37</v>
      </c>
      <c r="N3" s="53" t="s">
        <v>79</v>
      </c>
    </row>
    <row r="4" spans="2:14" ht="15.75" thickBot="1" x14ac:dyDescent="0.3">
      <c r="B4" s="20" t="s">
        <v>2</v>
      </c>
      <c r="C4" s="4" t="s">
        <v>3</v>
      </c>
      <c r="D4" s="4" t="s">
        <v>88</v>
      </c>
      <c r="E4" s="57" t="s">
        <v>90</v>
      </c>
      <c r="F4" s="57" t="s">
        <v>91</v>
      </c>
      <c r="G4" s="57" t="s">
        <v>92</v>
      </c>
      <c r="I4" s="12" t="s">
        <v>30</v>
      </c>
      <c r="J4" s="5">
        <v>2</v>
      </c>
      <c r="K4" s="5">
        <v>40</v>
      </c>
      <c r="L4" s="27">
        <v>0</v>
      </c>
      <c r="M4" s="5">
        <f>J4*K4*(1+L4)</f>
        <v>80</v>
      </c>
    </row>
    <row r="5" spans="2:14" x14ac:dyDescent="0.25">
      <c r="B5" s="61"/>
      <c r="C5" s="61"/>
      <c r="D5" s="87" t="s">
        <v>94</v>
      </c>
      <c r="E5" s="88"/>
      <c r="F5" s="89"/>
      <c r="G5" s="61" t="s">
        <v>93</v>
      </c>
      <c r="I5" s="13" t="s">
        <v>19</v>
      </c>
      <c r="J5">
        <v>2</v>
      </c>
      <c r="K5">
        <v>40</v>
      </c>
      <c r="L5" s="28">
        <v>0.1</v>
      </c>
      <c r="M5">
        <f>J5*K5*(1+L5)</f>
        <v>88</v>
      </c>
    </row>
    <row r="6" spans="2:14" x14ac:dyDescent="0.25">
      <c r="B6" s="18" t="s">
        <v>80</v>
      </c>
      <c r="C6" s="18" t="s">
        <v>10</v>
      </c>
      <c r="D6" s="31">
        <f>(D8+D9)*M4+D11*M5+D13*M6+D17+D18+D19+D20*M6+D21*M7+D15*D76+D23</f>
        <v>1792.8</v>
      </c>
      <c r="E6" s="31">
        <f>(E8+E9)*M11+E11*M12+E13*M13+E17+E18+E19+E20*M14+E21*M14+E23+E76*E15</f>
        <v>3024.1600000000003</v>
      </c>
      <c r="F6" s="31">
        <f>(F8+F9)*M18+F11*M19+F13*M20+F17+F18+F19+F20*M21+F21*M21+F23+F76*F15</f>
        <v>3142.5600000000004</v>
      </c>
      <c r="G6" s="31">
        <f>(G8+G9)*M18+G11*M19+G13*M20+G17+G18+G19+G20*M21+G21*N16+G23+G15*G76</f>
        <v>2973.2273469387756</v>
      </c>
      <c r="I6" s="13" t="s">
        <v>7</v>
      </c>
      <c r="J6">
        <v>4</v>
      </c>
      <c r="K6">
        <v>40</v>
      </c>
      <c r="L6" s="28">
        <v>0</v>
      </c>
      <c r="M6">
        <f>J6*K6*(1+L6)</f>
        <v>160</v>
      </c>
    </row>
    <row r="7" spans="2:14" x14ac:dyDescent="0.25">
      <c r="B7" s="21" t="s">
        <v>5</v>
      </c>
      <c r="C7" s="17"/>
      <c r="D7" s="17"/>
      <c r="E7" s="17"/>
      <c r="F7" s="17"/>
      <c r="G7" s="17"/>
      <c r="I7" s="26" t="s">
        <v>49</v>
      </c>
      <c r="M7" s="1">
        <f>SUM(M4:M6)</f>
        <v>328</v>
      </c>
    </row>
    <row r="8" spans="2:14" x14ac:dyDescent="0.25">
      <c r="B8" s="8" t="s">
        <v>22</v>
      </c>
      <c r="C8" s="18" t="s">
        <v>15</v>
      </c>
      <c r="D8" s="22">
        <v>5.2</v>
      </c>
      <c r="E8" s="8">
        <v>6.6</v>
      </c>
      <c r="F8" s="8">
        <v>9.4</v>
      </c>
      <c r="G8" s="8">
        <v>7.5</v>
      </c>
      <c r="I8" s="14" t="s">
        <v>50</v>
      </c>
      <c r="J8" s="16">
        <f>(SUM(J4:J6)-1)*K4</f>
        <v>280</v>
      </c>
      <c r="K8" s="2"/>
      <c r="L8" s="2"/>
      <c r="M8" s="2"/>
      <c r="N8" s="2"/>
    </row>
    <row r="9" spans="2:14" x14ac:dyDescent="0.25">
      <c r="B9" s="8" t="s">
        <v>23</v>
      </c>
      <c r="C9" s="18" t="s">
        <v>15</v>
      </c>
      <c r="D9" s="22">
        <v>1.2</v>
      </c>
      <c r="E9" s="8">
        <v>3.08</v>
      </c>
      <c r="F9" s="8">
        <v>1.76</v>
      </c>
      <c r="G9" s="8">
        <v>3.08</v>
      </c>
    </row>
    <row r="10" spans="2:14" x14ac:dyDescent="0.25">
      <c r="B10" s="21" t="s">
        <v>6</v>
      </c>
      <c r="C10" s="17"/>
      <c r="D10" s="17"/>
      <c r="E10" s="17"/>
      <c r="F10" s="17"/>
      <c r="G10" s="17"/>
      <c r="I10" s="15" t="s">
        <v>58</v>
      </c>
      <c r="J10" s="7" t="s">
        <v>17</v>
      </c>
      <c r="K10" s="7" t="s">
        <v>31</v>
      </c>
      <c r="L10" s="7" t="s">
        <v>54</v>
      </c>
      <c r="M10" s="7" t="s">
        <v>37</v>
      </c>
      <c r="N10" s="7"/>
    </row>
    <row r="11" spans="2:14" x14ac:dyDescent="0.25">
      <c r="B11" s="8" t="s">
        <v>24</v>
      </c>
      <c r="C11" s="18" t="s">
        <v>15</v>
      </c>
      <c r="D11" s="22">
        <v>2.5</v>
      </c>
      <c r="E11" s="8">
        <v>5.25</v>
      </c>
      <c r="F11" s="8">
        <v>5.25</v>
      </c>
      <c r="G11" s="8">
        <v>5.25</v>
      </c>
      <c r="I11" s="12" t="s">
        <v>30</v>
      </c>
      <c r="J11" s="5">
        <v>2</v>
      </c>
      <c r="K11" s="5">
        <v>40</v>
      </c>
      <c r="L11" s="27">
        <v>0</v>
      </c>
      <c r="M11" s="5">
        <f>J11*K11*(1+L11)</f>
        <v>80</v>
      </c>
    </row>
    <row r="12" spans="2:14" x14ac:dyDescent="0.25">
      <c r="B12" s="21" t="s">
        <v>7</v>
      </c>
      <c r="C12" s="17"/>
      <c r="D12" s="17"/>
      <c r="E12" s="17"/>
      <c r="F12" s="17"/>
      <c r="G12" s="17"/>
      <c r="I12" s="13" t="s">
        <v>19</v>
      </c>
      <c r="J12">
        <v>1</v>
      </c>
      <c r="K12">
        <f>K11</f>
        <v>40</v>
      </c>
      <c r="L12" s="28">
        <v>0.2</v>
      </c>
      <c r="M12">
        <f>J12*K12*(1+L12)</f>
        <v>48</v>
      </c>
    </row>
    <row r="13" spans="2:14" x14ac:dyDescent="0.25">
      <c r="B13" s="8" t="s">
        <v>24</v>
      </c>
      <c r="C13" s="18" t="s">
        <v>15</v>
      </c>
      <c r="D13" s="22">
        <v>2.5</v>
      </c>
      <c r="E13" s="22">
        <v>3.5</v>
      </c>
      <c r="F13" s="22">
        <v>3.5</v>
      </c>
      <c r="G13" s="22">
        <v>3.5</v>
      </c>
      <c r="I13" s="13" t="s">
        <v>7</v>
      </c>
      <c r="J13">
        <v>5</v>
      </c>
      <c r="K13">
        <f>K11</f>
        <v>40</v>
      </c>
      <c r="L13" s="28">
        <v>0</v>
      </c>
      <c r="M13">
        <f>J13*K13*(1+L13)</f>
        <v>200</v>
      </c>
    </row>
    <row r="14" spans="2:14" x14ac:dyDescent="0.25">
      <c r="B14" s="21" t="s">
        <v>78</v>
      </c>
      <c r="C14" s="17"/>
      <c r="D14" s="17"/>
      <c r="E14" s="17"/>
      <c r="F14" s="17"/>
      <c r="G14" s="17"/>
      <c r="I14" s="26" t="s">
        <v>49</v>
      </c>
      <c r="M14" s="1">
        <f>SUM(M11:M13)</f>
        <v>328</v>
      </c>
    </row>
    <row r="15" spans="2:14" x14ac:dyDescent="0.25">
      <c r="B15" s="8" t="s">
        <v>24</v>
      </c>
      <c r="C15" s="18" t="s">
        <v>15</v>
      </c>
      <c r="D15" s="22">
        <v>0.4</v>
      </c>
      <c r="E15" s="22">
        <v>0.55000000000000004</v>
      </c>
      <c r="F15" s="22">
        <v>0.55000000000000004</v>
      </c>
      <c r="G15" s="22">
        <v>0.55000000000000004</v>
      </c>
      <c r="I15" s="14" t="s">
        <v>50</v>
      </c>
      <c r="J15" s="16">
        <f>(SUM(J11:J13)-1)*K11</f>
        <v>280</v>
      </c>
      <c r="K15" s="2"/>
      <c r="L15" s="2"/>
      <c r="M15" s="2"/>
      <c r="N15" s="2"/>
    </row>
    <row r="16" spans="2:14" ht="15.75" thickBot="1" x14ac:dyDescent="0.3">
      <c r="B16" s="21" t="s">
        <v>26</v>
      </c>
      <c r="C16" s="17"/>
      <c r="D16" s="17"/>
      <c r="E16" s="17"/>
      <c r="F16" s="17"/>
      <c r="G16" s="17"/>
      <c r="I16" s="49" t="s">
        <v>76</v>
      </c>
    </row>
    <row r="17" spans="2:14" x14ac:dyDescent="0.25">
      <c r="B17" s="8" t="s">
        <v>8</v>
      </c>
      <c r="C17" s="18" t="s">
        <v>10</v>
      </c>
      <c r="D17" s="8">
        <v>50</v>
      </c>
      <c r="E17" s="8">
        <v>50</v>
      </c>
      <c r="F17" s="8">
        <v>50</v>
      </c>
      <c r="G17" s="8">
        <v>50</v>
      </c>
      <c r="I17" s="15" t="s">
        <v>58</v>
      </c>
      <c r="J17" s="7" t="s">
        <v>17</v>
      </c>
      <c r="K17" s="7" t="s">
        <v>31</v>
      </c>
      <c r="L17" s="7" t="s">
        <v>54</v>
      </c>
      <c r="M17" s="7" t="s">
        <v>37</v>
      </c>
      <c r="N17" s="7"/>
    </row>
    <row r="18" spans="2:14" x14ac:dyDescent="0.25">
      <c r="B18" s="8" t="s">
        <v>34</v>
      </c>
      <c r="C18" s="18" t="s">
        <v>10</v>
      </c>
      <c r="D18" s="8">
        <v>50</v>
      </c>
      <c r="E18" s="8">
        <v>50</v>
      </c>
      <c r="F18" s="8">
        <v>50</v>
      </c>
      <c r="G18" s="8">
        <v>50</v>
      </c>
      <c r="I18" s="12" t="s">
        <v>30</v>
      </c>
      <c r="J18" s="5">
        <v>2</v>
      </c>
      <c r="K18" s="5">
        <v>40</v>
      </c>
      <c r="L18" s="27">
        <v>0</v>
      </c>
      <c r="M18" s="5">
        <f>J18*K18*(1+L18)</f>
        <v>80</v>
      </c>
    </row>
    <row r="19" spans="2:14" x14ac:dyDescent="0.25">
      <c r="B19" s="8" t="s">
        <v>9</v>
      </c>
      <c r="C19" s="18" t="s">
        <v>10</v>
      </c>
      <c r="D19" s="31">
        <v>0</v>
      </c>
      <c r="E19" s="31">
        <v>0</v>
      </c>
      <c r="F19" s="31">
        <v>0</v>
      </c>
      <c r="G19" s="31">
        <v>0</v>
      </c>
      <c r="I19" s="13" t="s">
        <v>19</v>
      </c>
      <c r="J19">
        <v>1</v>
      </c>
      <c r="K19">
        <v>40</v>
      </c>
      <c r="L19" s="28">
        <v>0.2</v>
      </c>
      <c r="M19">
        <f>J19*K19*(1+L19)</f>
        <v>48</v>
      </c>
    </row>
    <row r="20" spans="2:14" x14ac:dyDescent="0.25">
      <c r="B20" s="8" t="s">
        <v>63</v>
      </c>
      <c r="C20" s="18" t="s">
        <v>39</v>
      </c>
      <c r="D20" s="22">
        <v>0</v>
      </c>
      <c r="E20" s="22">
        <v>1</v>
      </c>
      <c r="F20" s="22">
        <v>1</v>
      </c>
      <c r="G20" s="22">
        <v>1</v>
      </c>
      <c r="I20" s="13" t="s">
        <v>7</v>
      </c>
      <c r="J20">
        <v>5</v>
      </c>
      <c r="K20">
        <v>40</v>
      </c>
      <c r="L20" s="28">
        <v>0</v>
      </c>
      <c r="M20">
        <f>J20*K20*(1+L20)</f>
        <v>200</v>
      </c>
      <c r="N20" s="47" t="s">
        <v>77</v>
      </c>
    </row>
    <row r="21" spans="2:14" x14ac:dyDescent="0.25">
      <c r="B21" s="8" t="s">
        <v>25</v>
      </c>
      <c r="C21" s="18" t="s">
        <v>15</v>
      </c>
      <c r="D21" s="8">
        <v>0.1</v>
      </c>
      <c r="E21" s="8">
        <v>0.1</v>
      </c>
      <c r="F21" s="8">
        <v>0.1</v>
      </c>
      <c r="G21" s="8">
        <v>0.1</v>
      </c>
      <c r="I21" s="26" t="s">
        <v>49</v>
      </c>
      <c r="M21" s="1">
        <f>SUM(M18:M20)</f>
        <v>328</v>
      </c>
      <c r="N21" s="48">
        <f>J18*K18*G69*365*1/6 /56/7</f>
        <v>148.9795918367347</v>
      </c>
    </row>
    <row r="22" spans="2:14" x14ac:dyDescent="0.25">
      <c r="B22" s="8" t="s">
        <v>87</v>
      </c>
      <c r="C22" s="18" t="s">
        <v>32</v>
      </c>
      <c r="D22" s="58">
        <v>0</v>
      </c>
      <c r="E22" s="22">
        <v>0.5</v>
      </c>
      <c r="F22" s="22">
        <v>0.5</v>
      </c>
      <c r="G22" s="22">
        <v>0.5</v>
      </c>
      <c r="I22" s="14" t="s">
        <v>50</v>
      </c>
      <c r="J22" s="16">
        <f>(SUM(J18:J20)-1)*K18</f>
        <v>280</v>
      </c>
      <c r="K22" s="2"/>
      <c r="L22" s="2"/>
      <c r="M22" s="2"/>
      <c r="N22" s="54"/>
    </row>
    <row r="23" spans="2:14" x14ac:dyDescent="0.25">
      <c r="B23" s="8" t="s">
        <v>86</v>
      </c>
      <c r="C23" s="18" t="s">
        <v>60</v>
      </c>
      <c r="D23" s="31">
        <f>D22*J8</f>
        <v>0</v>
      </c>
      <c r="E23" s="31">
        <f>E22*J15</f>
        <v>140</v>
      </c>
      <c r="F23" s="31">
        <f>F22*J22</f>
        <v>140</v>
      </c>
      <c r="G23" s="31">
        <f>G22*J22</f>
        <v>140</v>
      </c>
      <c r="N23" s="46"/>
    </row>
    <row r="24" spans="2:14" x14ac:dyDescent="0.25">
      <c r="B24" s="8" t="s">
        <v>61</v>
      </c>
      <c r="C24" s="18" t="s">
        <v>42</v>
      </c>
      <c r="D24" s="22">
        <v>6</v>
      </c>
      <c r="E24" s="22">
        <v>7</v>
      </c>
      <c r="F24" s="22">
        <v>7</v>
      </c>
      <c r="G24" s="22">
        <v>7</v>
      </c>
      <c r="I24" s="46"/>
    </row>
    <row r="25" spans="2:14" x14ac:dyDescent="0.25">
      <c r="B25" s="8" t="s">
        <v>62</v>
      </c>
      <c r="C25" s="18" t="s">
        <v>59</v>
      </c>
      <c r="D25" s="8">
        <f>D24*J8</f>
        <v>1680</v>
      </c>
      <c r="E25" s="8">
        <f>E24*J15</f>
        <v>1960</v>
      </c>
      <c r="F25" s="8">
        <f>F24*J22</f>
        <v>1960</v>
      </c>
      <c r="G25" s="8">
        <f>G24*J22</f>
        <v>1960</v>
      </c>
      <c r="I25" s="46"/>
    </row>
    <row r="26" spans="2:14" x14ac:dyDescent="0.25">
      <c r="B26" s="29" t="s">
        <v>14</v>
      </c>
      <c r="C26" s="29"/>
      <c r="D26" s="30"/>
      <c r="E26" s="30"/>
      <c r="F26" s="30"/>
      <c r="G26" s="30"/>
    </row>
    <row r="27" spans="2:14" x14ac:dyDescent="0.25">
      <c r="B27" s="21" t="s">
        <v>5</v>
      </c>
      <c r="C27" s="17"/>
      <c r="D27" s="17"/>
      <c r="E27" s="17"/>
      <c r="F27" s="17"/>
      <c r="G27" s="17"/>
    </row>
    <row r="28" spans="2:14" x14ac:dyDescent="0.25">
      <c r="B28" s="8" t="s">
        <v>38</v>
      </c>
      <c r="C28" s="18" t="s">
        <v>11</v>
      </c>
      <c r="D28" s="8">
        <v>1000</v>
      </c>
      <c r="E28" s="8">
        <v>2000</v>
      </c>
      <c r="F28" s="8">
        <v>2000</v>
      </c>
      <c r="G28" s="8">
        <v>2000</v>
      </c>
    </row>
    <row r="29" spans="2:14" x14ac:dyDescent="0.25">
      <c r="B29" s="8" t="s">
        <v>28</v>
      </c>
      <c r="C29" s="18" t="s">
        <v>16</v>
      </c>
      <c r="D29" s="8">
        <v>450</v>
      </c>
      <c r="E29" s="8">
        <v>450</v>
      </c>
      <c r="F29" s="8">
        <v>450</v>
      </c>
      <c r="G29" s="8">
        <v>450</v>
      </c>
    </row>
    <row r="30" spans="2:14" x14ac:dyDescent="0.25">
      <c r="B30" s="8" t="s">
        <v>27</v>
      </c>
      <c r="C30" s="18" t="s">
        <v>16</v>
      </c>
      <c r="D30" s="8">
        <v>450</v>
      </c>
      <c r="E30" s="8">
        <v>450</v>
      </c>
      <c r="F30" s="8">
        <v>450</v>
      </c>
      <c r="G30" s="8">
        <v>450</v>
      </c>
    </row>
    <row r="31" spans="2:14" x14ac:dyDescent="0.25">
      <c r="B31" s="21" t="s">
        <v>6</v>
      </c>
      <c r="C31" s="17"/>
      <c r="D31" s="17"/>
      <c r="E31" s="17"/>
      <c r="F31" s="17"/>
      <c r="G31" s="17"/>
    </row>
    <row r="32" spans="2:14" x14ac:dyDescent="0.25">
      <c r="B32" s="8" t="s">
        <v>38</v>
      </c>
      <c r="C32" s="18" t="s">
        <v>11</v>
      </c>
      <c r="D32" s="8">
        <v>400</v>
      </c>
      <c r="E32" s="8">
        <v>400</v>
      </c>
      <c r="F32" s="8">
        <v>400</v>
      </c>
      <c r="G32" s="8">
        <v>400</v>
      </c>
    </row>
    <row r="33" spans="2:7" x14ac:dyDescent="0.25">
      <c r="B33" s="8" t="s">
        <v>29</v>
      </c>
      <c r="C33" s="18" t="s">
        <v>16</v>
      </c>
      <c r="D33" s="8">
        <v>450</v>
      </c>
      <c r="E33" s="8">
        <v>450</v>
      </c>
      <c r="F33" s="8">
        <v>450</v>
      </c>
      <c r="G33" s="8">
        <v>450</v>
      </c>
    </row>
    <row r="34" spans="2:7" x14ac:dyDescent="0.25">
      <c r="B34" s="21" t="s">
        <v>7</v>
      </c>
      <c r="C34" s="17"/>
      <c r="D34" s="17"/>
      <c r="E34" s="17"/>
      <c r="F34" s="17"/>
      <c r="G34" s="17"/>
    </row>
    <row r="35" spans="2:7" x14ac:dyDescent="0.25">
      <c r="B35" s="8" t="s">
        <v>38</v>
      </c>
      <c r="C35" s="18" t="s">
        <v>11</v>
      </c>
      <c r="D35" s="8">
        <v>200</v>
      </c>
      <c r="E35" s="8">
        <v>200</v>
      </c>
      <c r="F35" s="8">
        <v>200</v>
      </c>
      <c r="G35" s="8">
        <v>200</v>
      </c>
    </row>
    <row r="36" spans="2:7" x14ac:dyDescent="0.25">
      <c r="B36" s="8" t="s">
        <v>29</v>
      </c>
      <c r="C36" s="18" t="s">
        <v>16</v>
      </c>
      <c r="D36" s="8">
        <v>450</v>
      </c>
      <c r="E36" s="8">
        <v>450</v>
      </c>
      <c r="F36" s="8">
        <v>450</v>
      </c>
      <c r="G36" s="8">
        <v>450</v>
      </c>
    </row>
    <row r="37" spans="2:7" x14ac:dyDescent="0.25">
      <c r="B37" s="21" t="s">
        <v>26</v>
      </c>
      <c r="C37" s="17"/>
      <c r="D37" s="17"/>
      <c r="E37" s="17"/>
      <c r="F37" s="17"/>
      <c r="G37" s="17"/>
    </row>
    <row r="38" spans="2:7" x14ac:dyDescent="0.25">
      <c r="B38" s="8" t="s">
        <v>27</v>
      </c>
      <c r="C38" s="18" t="s">
        <v>16</v>
      </c>
      <c r="D38" s="8">
        <v>350</v>
      </c>
      <c r="E38" s="8">
        <v>350</v>
      </c>
      <c r="F38" s="8">
        <v>350</v>
      </c>
      <c r="G38" s="8">
        <v>350</v>
      </c>
    </row>
    <row r="39" spans="2:7" x14ac:dyDescent="0.25">
      <c r="B39" s="21" t="s">
        <v>13</v>
      </c>
      <c r="C39" s="17"/>
      <c r="D39" s="17"/>
      <c r="E39" s="17"/>
      <c r="F39" s="17"/>
      <c r="G39" s="17"/>
    </row>
    <row r="40" spans="2:7" x14ac:dyDescent="0.25">
      <c r="B40" s="8" t="s">
        <v>81</v>
      </c>
      <c r="C40" s="18" t="s">
        <v>16</v>
      </c>
      <c r="D40" s="8">
        <v>350</v>
      </c>
      <c r="E40" s="8">
        <v>350</v>
      </c>
      <c r="F40" s="8">
        <v>350</v>
      </c>
      <c r="G40" s="8">
        <v>350</v>
      </c>
    </row>
    <row r="41" spans="2:7" x14ac:dyDescent="0.25">
      <c r="B41" s="8" t="s">
        <v>40</v>
      </c>
      <c r="C41" s="18" t="s">
        <v>41</v>
      </c>
      <c r="D41" s="22">
        <v>60</v>
      </c>
      <c r="E41" s="22">
        <v>60</v>
      </c>
      <c r="F41" s="22">
        <v>60</v>
      </c>
      <c r="G41" s="22">
        <v>60</v>
      </c>
    </row>
    <row r="42" spans="2:7" x14ac:dyDescent="0.25">
      <c r="B42" s="6"/>
      <c r="C42" s="6"/>
      <c r="D42" s="5"/>
      <c r="E42" s="5"/>
      <c r="F42" s="5"/>
      <c r="G42" s="5"/>
    </row>
    <row r="43" spans="2:7" x14ac:dyDescent="0.25">
      <c r="B43" s="23" t="s">
        <v>35</v>
      </c>
      <c r="C43" s="6" t="s">
        <v>11</v>
      </c>
      <c r="D43" s="5">
        <f>D8*D29+D28</f>
        <v>3340</v>
      </c>
      <c r="E43" s="5">
        <f>E8*E29+E28</f>
        <v>4970</v>
      </c>
      <c r="F43" s="5">
        <f>F8*F29+F28</f>
        <v>6230</v>
      </c>
      <c r="G43" s="5">
        <f>G8*G29+G28</f>
        <v>5375</v>
      </c>
    </row>
    <row r="44" spans="2:7" x14ac:dyDescent="0.25">
      <c r="B44" s="24" t="s">
        <v>36</v>
      </c>
      <c r="C44" s="1" t="s">
        <v>11</v>
      </c>
      <c r="D44">
        <f>D9*D30</f>
        <v>540</v>
      </c>
      <c r="E44">
        <f>E9*E30</f>
        <v>1386</v>
      </c>
      <c r="F44">
        <f>F9*F30</f>
        <v>792</v>
      </c>
      <c r="G44">
        <f>G9*G30</f>
        <v>1386</v>
      </c>
    </row>
    <row r="45" spans="2:7" x14ac:dyDescent="0.25">
      <c r="B45" s="35" t="s">
        <v>44</v>
      </c>
      <c r="C45" s="36" t="s">
        <v>11</v>
      </c>
      <c r="D45" s="37">
        <f>D43+D44</f>
        <v>3880</v>
      </c>
      <c r="E45" s="37">
        <f t="shared" ref="E45:G45" si="0">E43+E44</f>
        <v>6356</v>
      </c>
      <c r="F45" s="37">
        <f t="shared" ref="F45" si="1">F43+F44</f>
        <v>7022</v>
      </c>
      <c r="G45" s="37">
        <f t="shared" si="0"/>
        <v>6761</v>
      </c>
    </row>
    <row r="46" spans="2:7" x14ac:dyDescent="0.25">
      <c r="B46" s="38" t="s">
        <v>45</v>
      </c>
      <c r="C46" s="39" t="s">
        <v>11</v>
      </c>
      <c r="D46" s="40">
        <f>D11*D33+D32</f>
        <v>1525</v>
      </c>
      <c r="E46" s="41">
        <f>E11*E33+E32</f>
        <v>2762.5</v>
      </c>
      <c r="F46" s="41">
        <f>F11*F33+F32</f>
        <v>2762.5</v>
      </c>
      <c r="G46" s="41">
        <f>G11*G33+G32</f>
        <v>2762.5</v>
      </c>
    </row>
    <row r="47" spans="2:7" x14ac:dyDescent="0.25">
      <c r="B47" s="38" t="s">
        <v>46</v>
      </c>
      <c r="C47" s="39" t="s">
        <v>11</v>
      </c>
      <c r="D47" s="40">
        <f>D13*D36+D35+D20*D38</f>
        <v>1325</v>
      </c>
      <c r="E47" s="40">
        <f>E13*E36+E35+E20*E38</f>
        <v>2125</v>
      </c>
      <c r="F47" s="40">
        <f>F13*F36+F35+F20*F38</f>
        <v>2125</v>
      </c>
      <c r="G47" s="40">
        <f>G13*G36+G35+G20*G38</f>
        <v>2125</v>
      </c>
    </row>
    <row r="48" spans="2:7" x14ac:dyDescent="0.25">
      <c r="B48" s="38" t="s">
        <v>26</v>
      </c>
      <c r="C48" s="39" t="s">
        <v>11</v>
      </c>
      <c r="D48" s="41">
        <f>(SUM(D17:D19)/$M7)*D38</f>
        <v>106.70731707317073</v>
      </c>
      <c r="E48" s="41">
        <f>(SUM(E17:E19)/$M14)*E38</f>
        <v>106.70731707317073</v>
      </c>
      <c r="F48" s="41">
        <f>(SUM(F17:F19)/$M21)*F38</f>
        <v>106.70731707317073</v>
      </c>
      <c r="G48" s="41">
        <f>(SUM(G17:G19)/$M21)*G38</f>
        <v>106.70731707317073</v>
      </c>
    </row>
    <row r="49" spans="2:7" x14ac:dyDescent="0.25">
      <c r="B49" s="42" t="s">
        <v>40</v>
      </c>
      <c r="C49" s="43" t="s">
        <v>11</v>
      </c>
      <c r="D49" s="44">
        <f>(D41*D24)*$J8/$M7</f>
        <v>307.3170731707317</v>
      </c>
      <c r="E49" s="44">
        <f>(E41*E24)*$J15/$M14</f>
        <v>358.53658536585368</v>
      </c>
      <c r="F49" s="44">
        <f>(F41*F24)*$J22/$M21</f>
        <v>358.53658536585368</v>
      </c>
      <c r="G49" s="44">
        <f>(G41*G24)*$J22/$M21</f>
        <v>358.53658536585368</v>
      </c>
    </row>
    <row r="50" spans="2:7" x14ac:dyDescent="0.25">
      <c r="B50" s="38" t="s">
        <v>43</v>
      </c>
      <c r="C50" s="39" t="s">
        <v>11</v>
      </c>
      <c r="D50" s="41">
        <f>D40*D22/$M7</f>
        <v>0</v>
      </c>
      <c r="E50" s="41">
        <f>E40*E23/$M14</f>
        <v>149.39024390243901</v>
      </c>
      <c r="F50" s="41">
        <f>F40*F23/$M14</f>
        <v>149.39024390243901</v>
      </c>
      <c r="G50" s="41">
        <f>G23*G40/$M21</f>
        <v>149.39024390243901</v>
      </c>
    </row>
    <row r="51" spans="2:7" x14ac:dyDescent="0.25">
      <c r="B51" s="1"/>
      <c r="C51" s="1"/>
    </row>
    <row r="52" spans="2:7" x14ac:dyDescent="0.25">
      <c r="B52" s="1"/>
      <c r="C52" s="1"/>
    </row>
    <row r="53" spans="2:7" x14ac:dyDescent="0.25">
      <c r="B53" s="1" t="s">
        <v>51</v>
      </c>
      <c r="C53" s="1" t="s">
        <v>12</v>
      </c>
      <c r="D53">
        <f>D45*$M4</f>
        <v>310400</v>
      </c>
      <c r="E53">
        <f>E45*$M11</f>
        <v>508480</v>
      </c>
      <c r="F53">
        <f t="shared" ref="F53:G56" si="2">F45*$M18</f>
        <v>561760</v>
      </c>
      <c r="G53">
        <f t="shared" si="2"/>
        <v>540880</v>
      </c>
    </row>
    <row r="54" spans="2:7" x14ac:dyDescent="0.25">
      <c r="B54" s="1" t="s">
        <v>52</v>
      </c>
      <c r="C54" s="1" t="s">
        <v>12</v>
      </c>
      <c r="D54">
        <f>D46*$M5</f>
        <v>134200</v>
      </c>
      <c r="E54">
        <f>E46*$M12</f>
        <v>132600</v>
      </c>
      <c r="F54">
        <f t="shared" si="2"/>
        <v>132600</v>
      </c>
      <c r="G54">
        <f t="shared" si="2"/>
        <v>132600</v>
      </c>
    </row>
    <row r="55" spans="2:7" x14ac:dyDescent="0.25">
      <c r="B55" s="1" t="s">
        <v>53</v>
      </c>
      <c r="C55" s="1" t="s">
        <v>12</v>
      </c>
      <c r="D55">
        <f>D47*$M6</f>
        <v>212000</v>
      </c>
      <c r="E55">
        <f>E47*$M13</f>
        <v>425000</v>
      </c>
      <c r="F55">
        <f t="shared" si="2"/>
        <v>425000</v>
      </c>
      <c r="G55">
        <f t="shared" si="2"/>
        <v>425000</v>
      </c>
    </row>
    <row r="56" spans="2:7" x14ac:dyDescent="0.25">
      <c r="B56" s="1" t="s">
        <v>55</v>
      </c>
      <c r="C56" s="1" t="s">
        <v>12</v>
      </c>
      <c r="D56">
        <f>D48*$M7</f>
        <v>35000</v>
      </c>
      <c r="E56">
        <f>E48*$M14</f>
        <v>35000</v>
      </c>
      <c r="F56">
        <f t="shared" si="2"/>
        <v>35000</v>
      </c>
      <c r="G56">
        <f t="shared" si="2"/>
        <v>35000</v>
      </c>
    </row>
    <row r="57" spans="2:7" x14ac:dyDescent="0.25">
      <c r="B57" s="1" t="s">
        <v>56</v>
      </c>
      <c r="C57" s="1" t="s">
        <v>12</v>
      </c>
      <c r="D57">
        <f>D49*$M7</f>
        <v>100800</v>
      </c>
      <c r="E57">
        <f>E49*$M14</f>
        <v>117600.00000000001</v>
      </c>
      <c r="F57">
        <f>F49*$M21</f>
        <v>117600.00000000001</v>
      </c>
      <c r="G57">
        <f>G49*$M21</f>
        <v>117600.00000000001</v>
      </c>
    </row>
    <row r="58" spans="2:7" x14ac:dyDescent="0.25">
      <c r="B58" s="1" t="s">
        <v>57</v>
      </c>
      <c r="C58" s="1" t="s">
        <v>12</v>
      </c>
      <c r="D58">
        <f>D50*$M7</f>
        <v>0</v>
      </c>
      <c r="E58">
        <f>E50*$M14</f>
        <v>48999.999999999993</v>
      </c>
      <c r="F58">
        <f>F50*$M21</f>
        <v>48999.999999999993</v>
      </c>
      <c r="G58">
        <f>G50*$M21</f>
        <v>48999.999999999993</v>
      </c>
    </row>
    <row r="59" spans="2:7" x14ac:dyDescent="0.25">
      <c r="B59" s="1"/>
      <c r="C59" s="1"/>
    </row>
    <row r="60" spans="2:7" x14ac:dyDescent="0.25">
      <c r="B60" s="32" t="s">
        <v>82</v>
      </c>
      <c r="C60" s="32" t="s">
        <v>12</v>
      </c>
      <c r="D60" s="33">
        <f>SUM(D53:D58)</f>
        <v>792400</v>
      </c>
      <c r="E60" s="33">
        <f t="shared" ref="E60:G60" si="3">SUM(E53:E58)</f>
        <v>1267680</v>
      </c>
      <c r="F60" s="33">
        <f t="shared" ref="F60" si="4">SUM(F53:F58)</f>
        <v>1320960</v>
      </c>
      <c r="G60" s="33">
        <f t="shared" si="3"/>
        <v>1300080</v>
      </c>
    </row>
    <row r="61" spans="2:7" x14ac:dyDescent="0.25">
      <c r="B61" s="32" t="s">
        <v>83</v>
      </c>
      <c r="C61" s="32" t="s">
        <v>11</v>
      </c>
      <c r="D61" s="34">
        <f>D60/$M7</f>
        <v>2415.8536585365855</v>
      </c>
      <c r="E61" s="34">
        <f>E60/$M14</f>
        <v>3864.8780487804879</v>
      </c>
      <c r="F61" s="34">
        <f>F60/$M21</f>
        <v>4027.3170731707319</v>
      </c>
      <c r="G61" s="34">
        <f>G60/$M21</f>
        <v>3963.6585365853657</v>
      </c>
    </row>
    <row r="62" spans="2:7" x14ac:dyDescent="0.25">
      <c r="B62" s="32" t="s">
        <v>84</v>
      </c>
      <c r="C62" s="32" t="s">
        <v>64</v>
      </c>
      <c r="D62" s="34">
        <f>D60/$J8</f>
        <v>2830</v>
      </c>
      <c r="E62" s="34">
        <f>E60/$J15</f>
        <v>4527.4285714285716</v>
      </c>
      <c r="F62" s="34">
        <f>F60/$J22</f>
        <v>4717.7142857142853</v>
      </c>
      <c r="G62" s="34">
        <f>G60/$J22</f>
        <v>4643.1428571428569</v>
      </c>
    </row>
    <row r="63" spans="2:7" x14ac:dyDescent="0.25">
      <c r="B63" s="1" t="s">
        <v>65</v>
      </c>
      <c r="C63" s="1" t="s">
        <v>11</v>
      </c>
      <c r="E63" s="25">
        <f>E61-D61</f>
        <v>1449.0243902439024</v>
      </c>
      <c r="F63" s="25">
        <f>F61-D61</f>
        <v>1611.4634146341464</v>
      </c>
      <c r="G63" s="25">
        <f>G61-D61</f>
        <v>1547.8048780487802</v>
      </c>
    </row>
    <row r="64" spans="2:7" x14ac:dyDescent="0.25">
      <c r="B64" s="1" t="s">
        <v>65</v>
      </c>
      <c r="C64" s="1" t="s">
        <v>18</v>
      </c>
      <c r="E64" s="28">
        <f>E61/D61-1</f>
        <v>0.59979808177688043</v>
      </c>
      <c r="F64" s="28">
        <f>F61/D61-1</f>
        <v>0.66703685007571933</v>
      </c>
      <c r="G64" s="28">
        <f>G61/D61-1</f>
        <v>0.64068652195860665</v>
      </c>
    </row>
    <row r="65" spans="1:7" x14ac:dyDescent="0.25">
      <c r="B65" s="1"/>
      <c r="C65" s="1"/>
    </row>
    <row r="66" spans="1:7" x14ac:dyDescent="0.25">
      <c r="B66" s="1" t="s">
        <v>66</v>
      </c>
      <c r="C66" s="1" t="s">
        <v>47</v>
      </c>
      <c r="D66" s="25">
        <f>D62/10</f>
        <v>283</v>
      </c>
      <c r="E66" s="25">
        <f>E62/10</f>
        <v>452.74285714285713</v>
      </c>
      <c r="F66" s="25">
        <f>F62/10</f>
        <v>471.77142857142854</v>
      </c>
      <c r="G66" s="25">
        <f>G62/10</f>
        <v>464.31428571428569</v>
      </c>
    </row>
    <row r="67" spans="1:7" x14ac:dyDescent="0.25">
      <c r="A67" s="60" t="s">
        <v>85</v>
      </c>
      <c r="B67" s="1" t="s">
        <v>66</v>
      </c>
      <c r="C67" s="1" t="s">
        <v>67</v>
      </c>
      <c r="D67" s="25">
        <f>D66/30</f>
        <v>9.4333333333333336</v>
      </c>
      <c r="E67" s="25">
        <f>E66/30</f>
        <v>15.091428571428571</v>
      </c>
      <c r="F67" s="25">
        <f>F66/30</f>
        <v>15.725714285714284</v>
      </c>
      <c r="G67" s="25">
        <f>G66/30</f>
        <v>15.477142857142857</v>
      </c>
    </row>
    <row r="68" spans="1:7" x14ac:dyDescent="0.25">
      <c r="B68" s="1"/>
      <c r="C68" s="1"/>
      <c r="D68" s="25"/>
      <c r="E68" s="25"/>
      <c r="F68" s="25"/>
      <c r="G68" s="25"/>
    </row>
    <row r="69" spans="1:7" x14ac:dyDescent="0.25">
      <c r="B69" s="1" t="s">
        <v>70</v>
      </c>
      <c r="C69" s="1" t="s">
        <v>21</v>
      </c>
      <c r="D69" s="11">
        <v>12.5</v>
      </c>
      <c r="E69" s="11">
        <v>12</v>
      </c>
      <c r="F69" s="11">
        <v>12</v>
      </c>
      <c r="G69" s="11">
        <v>12</v>
      </c>
    </row>
    <row r="70" spans="1:7" x14ac:dyDescent="0.25">
      <c r="B70" s="1" t="s">
        <v>128</v>
      </c>
      <c r="C70" s="1" t="s">
        <v>21</v>
      </c>
      <c r="D70" s="11">
        <f>D69*2.4</f>
        <v>30</v>
      </c>
      <c r="E70" s="11">
        <f>E69*2.4</f>
        <v>28.799999999999997</v>
      </c>
      <c r="F70" s="11">
        <f>F69*2.4</f>
        <v>28.799999999999997</v>
      </c>
      <c r="G70" s="11">
        <f>G69*2.4</f>
        <v>28.799999999999997</v>
      </c>
    </row>
    <row r="71" spans="1:7" x14ac:dyDescent="0.25">
      <c r="B71" s="1" t="s">
        <v>130</v>
      </c>
      <c r="C71" s="1" t="s">
        <v>18</v>
      </c>
      <c r="D71" s="11">
        <v>2</v>
      </c>
      <c r="E71" s="11">
        <v>2</v>
      </c>
      <c r="F71" s="11">
        <v>2</v>
      </c>
      <c r="G71" s="11">
        <v>2</v>
      </c>
    </row>
    <row r="72" spans="1:7" x14ac:dyDescent="0.25">
      <c r="B72" s="1" t="s">
        <v>129</v>
      </c>
      <c r="C72" s="1" t="s">
        <v>21</v>
      </c>
      <c r="D72" s="11">
        <f>D70*(100-D71)/100</f>
        <v>29.4</v>
      </c>
      <c r="E72" s="11">
        <f t="shared" ref="E72:G72" si="5">E70*(100-E71)/100</f>
        <v>28.223999999999997</v>
      </c>
      <c r="F72" s="11">
        <f t="shared" si="5"/>
        <v>28.223999999999997</v>
      </c>
      <c r="G72" s="11">
        <f t="shared" si="5"/>
        <v>28.223999999999997</v>
      </c>
    </row>
    <row r="73" spans="1:7" x14ac:dyDescent="0.25">
      <c r="B73" s="1" t="s">
        <v>131</v>
      </c>
      <c r="C73" s="1" t="s">
        <v>123</v>
      </c>
      <c r="D73" s="11">
        <v>7</v>
      </c>
      <c r="E73" s="11">
        <v>7</v>
      </c>
      <c r="F73" s="11">
        <v>7</v>
      </c>
      <c r="G73" s="11">
        <v>7</v>
      </c>
    </row>
    <row r="74" spans="1:7" x14ac:dyDescent="0.25">
      <c r="B74" s="1" t="s">
        <v>132</v>
      </c>
      <c r="C74" s="1" t="s">
        <v>37</v>
      </c>
      <c r="D74" s="25">
        <f>D70*J8/D73</f>
        <v>1200</v>
      </c>
      <c r="E74" s="25">
        <f>E70*J15/E73</f>
        <v>1151.9999999999998</v>
      </c>
      <c r="F74" s="25">
        <f>F70*J22/F73</f>
        <v>1151.9999999999998</v>
      </c>
      <c r="G74" s="25">
        <f>G70*J22/G73</f>
        <v>1151.9999999999998</v>
      </c>
    </row>
    <row r="75" spans="1:7" x14ac:dyDescent="0.25">
      <c r="B75" s="1" t="s">
        <v>133</v>
      </c>
      <c r="C75" s="1" t="s">
        <v>37</v>
      </c>
      <c r="D75" s="25">
        <v>0</v>
      </c>
      <c r="E75" s="25">
        <v>0</v>
      </c>
      <c r="F75" s="25">
        <v>0</v>
      </c>
      <c r="G75" s="25">
        <f>N21</f>
        <v>148.9795918367347</v>
      </c>
    </row>
    <row r="76" spans="1:7" x14ac:dyDescent="0.25">
      <c r="B76" s="1" t="s">
        <v>71</v>
      </c>
      <c r="C76" s="1" t="s">
        <v>37</v>
      </c>
      <c r="D76" s="25">
        <f>(D74-D75)*1.1</f>
        <v>1320</v>
      </c>
      <c r="E76" s="25">
        <f t="shared" ref="E76:G76" si="6">(E74-E75)*1.1</f>
        <v>1267.1999999999998</v>
      </c>
      <c r="F76" s="25">
        <f t="shared" ref="F76" si="7">(F74-F75)*1.1</f>
        <v>1267.1999999999998</v>
      </c>
      <c r="G76" s="25">
        <f t="shared" si="6"/>
        <v>1103.3224489795916</v>
      </c>
    </row>
    <row r="77" spans="1:7" x14ac:dyDescent="0.25">
      <c r="B77" s="1" t="s">
        <v>75</v>
      </c>
      <c r="C77" s="1" t="s">
        <v>33</v>
      </c>
      <c r="D77" s="9">
        <f>D15</f>
        <v>0.4</v>
      </c>
      <c r="E77" s="9">
        <f>E15</f>
        <v>0.55000000000000004</v>
      </c>
      <c r="F77" s="9">
        <f>F15</f>
        <v>0.55000000000000004</v>
      </c>
      <c r="G77" s="9">
        <f>G15</f>
        <v>0.55000000000000004</v>
      </c>
    </row>
    <row r="78" spans="1:7" x14ac:dyDescent="0.25">
      <c r="B78" s="1" t="s">
        <v>72</v>
      </c>
      <c r="C78" s="1" t="s">
        <v>16</v>
      </c>
      <c r="D78">
        <v>900</v>
      </c>
      <c r="E78">
        <v>900</v>
      </c>
      <c r="F78">
        <v>900</v>
      </c>
      <c r="G78">
        <v>900</v>
      </c>
    </row>
    <row r="79" spans="1:7" x14ac:dyDescent="0.25">
      <c r="B79" s="1" t="s">
        <v>73</v>
      </c>
      <c r="C79" s="1" t="s">
        <v>12</v>
      </c>
      <c r="D79">
        <f>D76*D78*D77</f>
        <v>475200</v>
      </c>
      <c r="E79">
        <f t="shared" ref="E79:G79" si="8">E76*E78*E77</f>
        <v>627263.99999999988</v>
      </c>
      <c r="F79">
        <f t="shared" ref="F79" si="9">F76*F78*F77</f>
        <v>627263.99999999988</v>
      </c>
      <c r="G79" s="25">
        <f t="shared" si="8"/>
        <v>546144.61224489787</v>
      </c>
    </row>
    <row r="81" spans="2:7" x14ac:dyDescent="0.25">
      <c r="B81" s="32" t="s">
        <v>74</v>
      </c>
      <c r="C81" s="32" t="s">
        <v>12</v>
      </c>
      <c r="D81" s="33">
        <f>D79+D60</f>
        <v>1267600</v>
      </c>
      <c r="E81" s="33">
        <f>E79+E60</f>
        <v>1894944</v>
      </c>
      <c r="F81" s="33">
        <f>F79+F60</f>
        <v>1948224</v>
      </c>
      <c r="G81" s="34">
        <f>G79+G60</f>
        <v>1846224.612244898</v>
      </c>
    </row>
    <row r="82" spans="2:7" x14ac:dyDescent="0.25">
      <c r="B82" s="32" t="s">
        <v>149</v>
      </c>
      <c r="C82" s="32" t="s">
        <v>11</v>
      </c>
      <c r="D82" s="34">
        <f>D81/M14</f>
        <v>3864.6341463414633</v>
      </c>
      <c r="E82" s="34">
        <f>E81/M14</f>
        <v>5777.2682926829266</v>
      </c>
      <c r="F82" s="34">
        <f>F81/M7</f>
        <v>5939.707317073171</v>
      </c>
      <c r="G82" s="34">
        <f>G81/M21</f>
        <v>5628.7335739173723</v>
      </c>
    </row>
    <row r="83" spans="2:7" x14ac:dyDescent="0.25">
      <c r="B83" s="32" t="s">
        <v>150</v>
      </c>
      <c r="C83" s="32" t="s">
        <v>64</v>
      </c>
      <c r="D83" s="34">
        <f>D81/J8</f>
        <v>4527.1428571428569</v>
      </c>
      <c r="E83" s="34">
        <f>E81/J15</f>
        <v>6767.6571428571433</v>
      </c>
      <c r="F83" s="34">
        <f>F81/J22</f>
        <v>6957.9428571428571</v>
      </c>
      <c r="G83" s="34">
        <f>G81/J22</f>
        <v>6593.6593294460645</v>
      </c>
    </row>
    <row r="84" spans="2:7" x14ac:dyDescent="0.25">
      <c r="B84" s="32" t="s">
        <v>66</v>
      </c>
      <c r="C84" s="32" t="s">
        <v>47</v>
      </c>
      <c r="D84" s="34">
        <f>D81/J8*0.1</f>
        <v>452.71428571428572</v>
      </c>
      <c r="E84" s="34">
        <f>E81/J15*0.1</f>
        <v>676.76571428571435</v>
      </c>
      <c r="F84" s="34">
        <f>F81/J22*0.1</f>
        <v>695.79428571428571</v>
      </c>
      <c r="G84" s="34">
        <f>G81/J22*0.1</f>
        <v>659.36593294460647</v>
      </c>
    </row>
    <row r="85" spans="2:7" x14ac:dyDescent="0.25">
      <c r="B85" s="32" t="s">
        <v>66</v>
      </c>
      <c r="C85" s="32" t="s">
        <v>67</v>
      </c>
      <c r="D85" s="34">
        <f>D84/D72</f>
        <v>15.398445092322644</v>
      </c>
      <c r="E85" s="34">
        <f>E84/E72</f>
        <v>23.978377065111765</v>
      </c>
      <c r="F85" s="34">
        <f>F84/F72</f>
        <v>24.652575315840625</v>
      </c>
      <c r="G85" s="34">
        <f>G84/G72</f>
        <v>23.361888213740311</v>
      </c>
    </row>
  </sheetData>
  <mergeCells count="2">
    <mergeCell ref="D2:F2"/>
    <mergeCell ref="D5:F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55"/>
  <sheetViews>
    <sheetView topLeftCell="D2" zoomScaleNormal="100" workbookViewId="0">
      <selection activeCell="L7" sqref="L7"/>
    </sheetView>
  </sheetViews>
  <sheetFormatPr baseColWidth="10" defaultRowHeight="15" x14ac:dyDescent="0.25"/>
  <cols>
    <col min="2" max="2" width="27.85546875" customWidth="1"/>
    <col min="3" max="3" width="25" customWidth="1"/>
    <col min="4" max="4" width="12.42578125" customWidth="1"/>
    <col min="5" max="6" width="16.7109375" customWidth="1"/>
    <col min="7" max="7" width="16.42578125" customWidth="1"/>
    <col min="9" max="10" width="17.5703125" customWidth="1"/>
    <col min="11" max="13" width="13.5703125" customWidth="1"/>
  </cols>
  <sheetData>
    <row r="1" spans="2:13" x14ac:dyDescent="0.25">
      <c r="B1" t="s">
        <v>0</v>
      </c>
    </row>
    <row r="2" spans="2:13" ht="15.75" thickBot="1" x14ac:dyDescent="0.3">
      <c r="D2" s="86"/>
      <c r="E2" s="86"/>
      <c r="F2" s="86"/>
      <c r="G2" s="52"/>
    </row>
    <row r="3" spans="2:13" ht="18.75" x14ac:dyDescent="0.3">
      <c r="B3" s="19" t="s">
        <v>1</v>
      </c>
      <c r="C3" s="3"/>
      <c r="D3" s="55" t="s">
        <v>4</v>
      </c>
      <c r="E3" s="56" t="s">
        <v>151</v>
      </c>
      <c r="F3" s="56" t="s">
        <v>152</v>
      </c>
      <c r="G3" s="56" t="s">
        <v>20</v>
      </c>
      <c r="I3" s="15" t="s">
        <v>48</v>
      </c>
      <c r="J3" s="7" t="s">
        <v>122</v>
      </c>
      <c r="K3" s="7" t="s">
        <v>120</v>
      </c>
      <c r="L3" s="7" t="s">
        <v>123</v>
      </c>
      <c r="M3" s="7"/>
    </row>
    <row r="4" spans="2:13" ht="15.75" thickBot="1" x14ac:dyDescent="0.3">
      <c r="B4" s="20" t="s">
        <v>2</v>
      </c>
      <c r="C4" s="4" t="s">
        <v>3</v>
      </c>
      <c r="D4" s="4"/>
      <c r="E4" s="57" t="s">
        <v>134</v>
      </c>
      <c r="F4" s="57" t="s">
        <v>138</v>
      </c>
      <c r="G4" s="57" t="s">
        <v>146</v>
      </c>
      <c r="I4" s="12" t="s">
        <v>121</v>
      </c>
      <c r="J4" s="5">
        <v>40</v>
      </c>
      <c r="K4" s="5">
        <v>40</v>
      </c>
      <c r="L4" s="68">
        <v>3</v>
      </c>
      <c r="M4" s="5"/>
    </row>
    <row r="5" spans="2:13" x14ac:dyDescent="0.25">
      <c r="B5" s="61"/>
      <c r="C5" s="61"/>
      <c r="D5" s="87"/>
      <c r="E5" s="90"/>
      <c r="F5" s="91"/>
      <c r="G5" s="61"/>
      <c r="I5" s="13" t="s">
        <v>124</v>
      </c>
      <c r="J5" s="50"/>
      <c r="K5" s="50"/>
      <c r="L5" s="51"/>
      <c r="M5" s="69">
        <f>J4*K4</f>
        <v>1600</v>
      </c>
    </row>
    <row r="6" spans="2:13" x14ac:dyDescent="0.25">
      <c r="B6" s="18" t="s">
        <v>105</v>
      </c>
      <c r="C6" s="18" t="s">
        <v>10</v>
      </c>
      <c r="D6" s="31">
        <f>(D8+D9+D10)*M5+D12+D13+D14+D15*M5+D17</f>
        <v>1495</v>
      </c>
      <c r="E6" s="31">
        <f>E8*M11+E9*M11+E10*M11+E12+E13+E15*M11+E16*M11</f>
        <v>2765</v>
      </c>
      <c r="F6" s="31">
        <f>F8*M16+F9*M17+F10*M17</f>
        <v>2912</v>
      </c>
      <c r="G6" s="31">
        <f>G8*M21+G9*M21+G10*M21</f>
        <v>2320</v>
      </c>
      <c r="I6" s="14" t="s">
        <v>125</v>
      </c>
      <c r="J6" s="16"/>
      <c r="K6" s="2"/>
      <c r="L6" s="2"/>
      <c r="M6" s="16">
        <f>M5*L4</f>
        <v>4800</v>
      </c>
    </row>
    <row r="7" spans="2:13" x14ac:dyDescent="0.25">
      <c r="B7" s="21" t="s">
        <v>106</v>
      </c>
      <c r="C7" s="17"/>
      <c r="D7" s="17"/>
      <c r="E7" s="17"/>
      <c r="F7" s="17"/>
      <c r="G7" s="17"/>
    </row>
    <row r="8" spans="2:13" x14ac:dyDescent="0.25">
      <c r="B8" s="8" t="s">
        <v>22</v>
      </c>
      <c r="C8" s="18" t="s">
        <v>15</v>
      </c>
      <c r="D8" s="22">
        <v>0.75</v>
      </c>
      <c r="E8" s="22">
        <v>1.1000000000000001</v>
      </c>
      <c r="F8" s="8">
        <v>1.4</v>
      </c>
      <c r="G8" s="22">
        <v>1.1000000000000001</v>
      </c>
      <c r="I8" s="15" t="s">
        <v>107</v>
      </c>
      <c r="J8" s="7" t="s">
        <v>122</v>
      </c>
      <c r="K8" s="7" t="s">
        <v>120</v>
      </c>
      <c r="L8" s="7" t="s">
        <v>123</v>
      </c>
      <c r="M8" s="7"/>
    </row>
    <row r="9" spans="2:13" x14ac:dyDescent="0.25">
      <c r="B9" s="8" t="s">
        <v>23</v>
      </c>
      <c r="C9" s="18" t="s">
        <v>15</v>
      </c>
      <c r="D9" s="22">
        <v>0.1</v>
      </c>
      <c r="E9" s="22">
        <v>9.375E-2</v>
      </c>
      <c r="F9" s="8">
        <v>0.14000000000000001</v>
      </c>
      <c r="G9" s="8">
        <v>0.05</v>
      </c>
      <c r="I9" s="70"/>
      <c r="J9" s="5"/>
      <c r="K9" s="5"/>
      <c r="L9" s="5"/>
      <c r="M9" s="5"/>
    </row>
    <row r="10" spans="2:13" x14ac:dyDescent="0.25">
      <c r="B10" s="8" t="s">
        <v>134</v>
      </c>
      <c r="C10" s="18" t="s">
        <v>15</v>
      </c>
      <c r="D10" s="22">
        <v>0</v>
      </c>
      <c r="E10" s="22">
        <v>0.3</v>
      </c>
      <c r="F10" s="22">
        <v>0</v>
      </c>
      <c r="G10" s="8">
        <v>0.3</v>
      </c>
      <c r="I10" s="12" t="s">
        <v>121</v>
      </c>
      <c r="J10" s="5">
        <v>80</v>
      </c>
      <c r="K10" s="5">
        <v>20</v>
      </c>
      <c r="L10" s="68">
        <v>3</v>
      </c>
      <c r="M10" s="5"/>
    </row>
    <row r="11" spans="2:13" x14ac:dyDescent="0.25">
      <c r="B11" s="21" t="s">
        <v>26</v>
      </c>
      <c r="C11" s="17"/>
      <c r="D11" s="17"/>
      <c r="E11" s="17"/>
      <c r="F11" s="17"/>
      <c r="G11" s="17"/>
      <c r="I11" s="13" t="s">
        <v>124</v>
      </c>
      <c r="J11" s="50"/>
      <c r="K11" s="50"/>
      <c r="L11" s="51"/>
      <c r="M11" s="69">
        <f>J10*K10</f>
        <v>1600</v>
      </c>
    </row>
    <row r="12" spans="2:13" x14ac:dyDescent="0.25">
      <c r="B12" s="8" t="s">
        <v>8</v>
      </c>
      <c r="C12" s="18" t="s">
        <v>10</v>
      </c>
      <c r="D12" s="8">
        <v>30</v>
      </c>
      <c r="E12" s="8">
        <v>30</v>
      </c>
      <c r="F12" s="8">
        <v>30</v>
      </c>
      <c r="G12" s="8">
        <v>30</v>
      </c>
      <c r="I12" s="14" t="s">
        <v>125</v>
      </c>
      <c r="J12" s="16"/>
      <c r="K12" s="2"/>
      <c r="L12" s="2"/>
      <c r="M12" s="16">
        <f>M11*L10</f>
        <v>4800</v>
      </c>
    </row>
    <row r="13" spans="2:13" ht="15.75" thickBot="1" x14ac:dyDescent="0.3">
      <c r="B13" s="8" t="s">
        <v>34</v>
      </c>
      <c r="C13" s="18" t="s">
        <v>10</v>
      </c>
      <c r="D13" s="8">
        <v>25</v>
      </c>
      <c r="E13" s="8">
        <v>25</v>
      </c>
      <c r="F13" s="8">
        <v>25</v>
      </c>
      <c r="G13" s="8">
        <v>25</v>
      </c>
      <c r="I13" s="52"/>
    </row>
    <row r="14" spans="2:13" x14ac:dyDescent="0.25">
      <c r="B14" s="8" t="s">
        <v>9</v>
      </c>
      <c r="C14" s="18" t="s">
        <v>10</v>
      </c>
      <c r="D14" s="31">
        <v>0</v>
      </c>
      <c r="E14" s="31">
        <v>0</v>
      </c>
      <c r="F14" s="31">
        <v>0</v>
      </c>
      <c r="G14" s="31">
        <v>0</v>
      </c>
      <c r="I14" s="15" t="s">
        <v>126</v>
      </c>
      <c r="J14" s="7" t="s">
        <v>122</v>
      </c>
      <c r="K14" s="7" t="s">
        <v>120</v>
      </c>
      <c r="L14" s="7" t="s">
        <v>123</v>
      </c>
      <c r="M14" s="7"/>
    </row>
    <row r="15" spans="2:13" x14ac:dyDescent="0.25">
      <c r="B15" s="8" t="s">
        <v>25</v>
      </c>
      <c r="C15" s="18" t="s">
        <v>109</v>
      </c>
      <c r="D15" s="8">
        <v>0.05</v>
      </c>
      <c r="E15" s="8">
        <v>0.1</v>
      </c>
      <c r="F15" s="8">
        <v>0</v>
      </c>
      <c r="G15" s="8">
        <v>0</v>
      </c>
      <c r="I15" s="12" t="s">
        <v>121</v>
      </c>
      <c r="J15" s="5">
        <v>80</v>
      </c>
      <c r="K15" s="5">
        <v>20</v>
      </c>
      <c r="L15" s="68">
        <v>3</v>
      </c>
      <c r="M15" s="5"/>
    </row>
    <row r="16" spans="2:13" x14ac:dyDescent="0.25">
      <c r="B16" s="8" t="s">
        <v>87</v>
      </c>
      <c r="C16" s="18" t="s">
        <v>108</v>
      </c>
      <c r="D16" s="58">
        <v>0</v>
      </c>
      <c r="E16" s="22">
        <v>0.1</v>
      </c>
      <c r="F16" s="22">
        <v>0.1</v>
      </c>
      <c r="G16" s="22">
        <v>0.1</v>
      </c>
      <c r="I16" s="13" t="s">
        <v>124</v>
      </c>
      <c r="J16" s="50"/>
      <c r="K16" s="50"/>
      <c r="L16" s="51"/>
      <c r="M16" s="69">
        <f>J15*K15</f>
        <v>1600</v>
      </c>
    </row>
    <row r="17" spans="2:13" x14ac:dyDescent="0.25">
      <c r="B17" s="8" t="s">
        <v>86</v>
      </c>
      <c r="C17" s="18" t="s">
        <v>60</v>
      </c>
      <c r="D17" s="31">
        <f>D16*J6</f>
        <v>0</v>
      </c>
      <c r="E17" s="31">
        <f>E16*M11</f>
        <v>160</v>
      </c>
      <c r="F17" s="31">
        <f>F16*M16</f>
        <v>160</v>
      </c>
      <c r="G17" s="31">
        <f>M21*G16</f>
        <v>160</v>
      </c>
      <c r="I17" s="14" t="s">
        <v>125</v>
      </c>
      <c r="J17" s="16"/>
      <c r="K17" s="2"/>
      <c r="L17" s="2"/>
      <c r="M17" s="16">
        <f>M16*L15</f>
        <v>4800</v>
      </c>
    </row>
    <row r="18" spans="2:13" x14ac:dyDescent="0.25">
      <c r="B18" s="8" t="s">
        <v>111</v>
      </c>
      <c r="C18" s="18" t="s">
        <v>112</v>
      </c>
      <c r="D18" s="22">
        <v>1</v>
      </c>
      <c r="E18" s="22">
        <v>1.25</v>
      </c>
      <c r="F18" s="22">
        <v>1.25</v>
      </c>
      <c r="G18" s="22">
        <v>1.25</v>
      </c>
    </row>
    <row r="19" spans="2:13" x14ac:dyDescent="0.25">
      <c r="B19" s="8" t="s">
        <v>62</v>
      </c>
      <c r="C19" s="18" t="s">
        <v>59</v>
      </c>
      <c r="D19" s="8">
        <f>D18*M5*0.75</f>
        <v>1200</v>
      </c>
      <c r="E19" s="8">
        <f>M11*E18*0.75</f>
        <v>1500</v>
      </c>
      <c r="F19" s="8">
        <f>F18*M16*0.75</f>
        <v>1500</v>
      </c>
      <c r="G19" s="8">
        <f>G18*M21*0.75</f>
        <v>1500</v>
      </c>
      <c r="I19" s="15" t="s">
        <v>127</v>
      </c>
      <c r="J19" s="7" t="s">
        <v>122</v>
      </c>
      <c r="K19" s="7" t="s">
        <v>120</v>
      </c>
      <c r="L19" s="7" t="s">
        <v>123</v>
      </c>
      <c r="M19" s="7"/>
    </row>
    <row r="20" spans="2:13" x14ac:dyDescent="0.25">
      <c r="B20" s="29" t="s">
        <v>14</v>
      </c>
      <c r="C20" s="29"/>
      <c r="D20" s="30"/>
      <c r="E20" s="30"/>
      <c r="F20" s="30"/>
      <c r="G20" s="30"/>
      <c r="I20" s="12" t="s">
        <v>121</v>
      </c>
      <c r="J20" s="5">
        <v>4</v>
      </c>
      <c r="K20" s="5">
        <v>400</v>
      </c>
      <c r="L20" s="68">
        <v>3</v>
      </c>
      <c r="M20" s="5"/>
    </row>
    <row r="21" spans="2:13" x14ac:dyDescent="0.25">
      <c r="B21" s="21" t="s">
        <v>106</v>
      </c>
      <c r="C21" s="17"/>
      <c r="D21" s="17"/>
      <c r="E21" s="17"/>
      <c r="F21" s="17"/>
      <c r="G21" s="17"/>
      <c r="I21" s="13" t="s">
        <v>124</v>
      </c>
      <c r="J21" s="50"/>
      <c r="K21" s="50"/>
      <c r="L21" s="51"/>
      <c r="M21" s="69">
        <f>J20*K20</f>
        <v>1600</v>
      </c>
    </row>
    <row r="22" spans="2:13" x14ac:dyDescent="0.25">
      <c r="B22" s="8" t="s">
        <v>38</v>
      </c>
      <c r="C22" s="18" t="s">
        <v>11</v>
      </c>
      <c r="D22" s="8">
        <v>280</v>
      </c>
      <c r="E22" s="8">
        <v>280</v>
      </c>
      <c r="F22" s="8">
        <v>280</v>
      </c>
      <c r="G22" s="8">
        <v>280</v>
      </c>
      <c r="I22" s="14" t="s">
        <v>125</v>
      </c>
      <c r="J22" s="16"/>
      <c r="K22" s="2"/>
      <c r="L22" s="2"/>
      <c r="M22" s="16">
        <f>M21*L20</f>
        <v>4800</v>
      </c>
    </row>
    <row r="23" spans="2:13" x14ac:dyDescent="0.25">
      <c r="B23" s="8" t="s">
        <v>28</v>
      </c>
      <c r="C23" s="18" t="s">
        <v>16</v>
      </c>
      <c r="D23" s="8">
        <v>480</v>
      </c>
      <c r="E23" s="8">
        <v>480</v>
      </c>
      <c r="F23" s="8">
        <v>480</v>
      </c>
      <c r="G23" s="8">
        <v>480</v>
      </c>
    </row>
    <row r="24" spans="2:13" x14ac:dyDescent="0.25">
      <c r="B24" s="8" t="s">
        <v>135</v>
      </c>
      <c r="C24" s="18" t="s">
        <v>16</v>
      </c>
      <c r="D24" s="8">
        <v>400</v>
      </c>
      <c r="E24" s="8">
        <v>400</v>
      </c>
      <c r="F24" s="8">
        <v>400</v>
      </c>
      <c r="G24" s="8">
        <v>400</v>
      </c>
    </row>
    <row r="25" spans="2:13" x14ac:dyDescent="0.25">
      <c r="B25" s="8" t="s">
        <v>27</v>
      </c>
      <c r="C25" s="18" t="s">
        <v>16</v>
      </c>
      <c r="D25" s="8">
        <v>350</v>
      </c>
      <c r="E25" s="8">
        <v>350</v>
      </c>
      <c r="F25" s="8">
        <v>350</v>
      </c>
      <c r="G25" s="8">
        <v>350</v>
      </c>
    </row>
    <row r="26" spans="2:13" ht="3.75" customHeight="1" x14ac:dyDescent="0.25">
      <c r="B26" s="21" t="s">
        <v>13</v>
      </c>
      <c r="C26" s="17"/>
      <c r="D26" s="17"/>
      <c r="E26" s="17"/>
      <c r="F26" s="17"/>
      <c r="G26" s="17"/>
    </row>
    <row r="27" spans="2:13" x14ac:dyDescent="0.25">
      <c r="B27" s="8" t="s">
        <v>81</v>
      </c>
      <c r="C27" s="18" t="s">
        <v>16</v>
      </c>
      <c r="D27" s="8">
        <v>350</v>
      </c>
      <c r="E27" s="8">
        <v>350</v>
      </c>
      <c r="F27" s="8">
        <v>350</v>
      </c>
      <c r="G27" s="8">
        <v>350</v>
      </c>
    </row>
    <row r="28" spans="2:13" x14ac:dyDescent="0.25">
      <c r="B28" s="8" t="s">
        <v>40</v>
      </c>
      <c r="C28" s="18" t="s">
        <v>41</v>
      </c>
      <c r="D28" s="22">
        <v>60</v>
      </c>
      <c r="E28" s="22">
        <v>60</v>
      </c>
      <c r="F28" s="22">
        <v>60</v>
      </c>
      <c r="G28" s="22">
        <v>60</v>
      </c>
    </row>
    <row r="29" spans="2:13" x14ac:dyDescent="0.25">
      <c r="B29" s="6"/>
      <c r="C29" s="6"/>
      <c r="D29" s="5"/>
      <c r="E29" s="5"/>
      <c r="F29" s="5"/>
      <c r="G29" s="5"/>
    </row>
    <row r="30" spans="2:13" x14ac:dyDescent="0.25">
      <c r="B30" s="23" t="s">
        <v>113</v>
      </c>
      <c r="C30" s="6" t="s">
        <v>11</v>
      </c>
      <c r="D30" s="72">
        <f>D8*D23+D22</f>
        <v>640</v>
      </c>
      <c r="E30" s="72">
        <f t="shared" ref="E30:G30" si="0">E8*E23+E22</f>
        <v>808</v>
      </c>
      <c r="F30" s="5">
        <f t="shared" si="0"/>
        <v>952</v>
      </c>
      <c r="G30" s="5">
        <f t="shared" si="0"/>
        <v>808</v>
      </c>
    </row>
    <row r="31" spans="2:13" x14ac:dyDescent="0.25">
      <c r="B31" s="24" t="s">
        <v>136</v>
      </c>
      <c r="C31" s="69" t="s">
        <v>11</v>
      </c>
      <c r="D31" s="50">
        <f>D10*D24</f>
        <v>0</v>
      </c>
      <c r="E31" s="50">
        <f t="shared" ref="E31:G31" si="1">E10*E24</f>
        <v>120</v>
      </c>
      <c r="F31" s="50">
        <f t="shared" si="1"/>
        <v>0</v>
      </c>
      <c r="G31" s="73">
        <f t="shared" si="1"/>
        <v>120</v>
      </c>
    </row>
    <row r="32" spans="2:13" x14ac:dyDescent="0.25">
      <c r="B32" s="24" t="s">
        <v>114</v>
      </c>
      <c r="C32" s="1" t="s">
        <v>11</v>
      </c>
      <c r="D32" s="25">
        <f>(D9+(D12+D13+D14+D15)/M5)*D25</f>
        <v>47.042187500000004</v>
      </c>
      <c r="E32" s="25">
        <f>(E9+(E12+E13+E14+E15)/M11)*E25</f>
        <v>44.865625000000001</v>
      </c>
      <c r="F32" s="25">
        <f>(F9+(F12+F13+F14+F15)/M16)*F25</f>
        <v>61.03125</v>
      </c>
      <c r="G32" s="25">
        <f>(G9+(G12+G13+G14+G15)/M21)*G25</f>
        <v>29.531250000000004</v>
      </c>
    </row>
    <row r="33" spans="1:7" s="75" customFormat="1" x14ac:dyDescent="0.25">
      <c r="B33" s="76" t="s">
        <v>40</v>
      </c>
      <c r="C33" s="77" t="s">
        <v>11</v>
      </c>
      <c r="D33" s="78">
        <f>D28*D19/M5</f>
        <v>45</v>
      </c>
      <c r="E33" s="78">
        <f>E28*E19/M11</f>
        <v>56.25</v>
      </c>
      <c r="F33" s="78">
        <f>F28*F19/M16</f>
        <v>56.25</v>
      </c>
      <c r="G33" s="78">
        <f>G28*G19/M21</f>
        <v>56.25</v>
      </c>
    </row>
    <row r="34" spans="1:7" s="75" customFormat="1" x14ac:dyDescent="0.25">
      <c r="B34" s="79" t="s">
        <v>43</v>
      </c>
      <c r="C34" s="80" t="s">
        <v>11</v>
      </c>
      <c r="D34" s="81">
        <f>D17*D25</f>
        <v>0</v>
      </c>
      <c r="E34" s="81">
        <f>E17*E25/M11</f>
        <v>35</v>
      </c>
      <c r="F34" s="81">
        <f>F17*F25/M16</f>
        <v>35</v>
      </c>
      <c r="G34" s="81">
        <f>G17*G25/M21</f>
        <v>35</v>
      </c>
    </row>
    <row r="35" spans="1:7" s="75" customFormat="1" x14ac:dyDescent="0.25">
      <c r="B35" s="82" t="s">
        <v>148</v>
      </c>
      <c r="C35" s="16" t="s">
        <v>11</v>
      </c>
      <c r="D35" s="83">
        <v>65</v>
      </c>
      <c r="E35" s="83">
        <v>65</v>
      </c>
      <c r="F35" s="83">
        <v>65</v>
      </c>
      <c r="G35" s="83">
        <v>65</v>
      </c>
    </row>
    <row r="36" spans="1:7" x14ac:dyDescent="0.25">
      <c r="B36" s="35" t="s">
        <v>115</v>
      </c>
      <c r="C36" s="36" t="s">
        <v>11</v>
      </c>
      <c r="D36" s="71">
        <f>SUM(D30:D35)</f>
        <v>797.04218749999995</v>
      </c>
      <c r="E36" s="71">
        <f>SUM(E30:E35)</f>
        <v>1129.1156249999999</v>
      </c>
      <c r="F36" s="71">
        <f>SUM(F30:F35)</f>
        <v>1169.28125</v>
      </c>
      <c r="G36" s="71">
        <f>SUM(G30:G35)</f>
        <v>1113.78125</v>
      </c>
    </row>
    <row r="37" spans="1:7" x14ac:dyDescent="0.25">
      <c r="B37" s="1"/>
      <c r="C37" s="1"/>
    </row>
    <row r="38" spans="1:7" x14ac:dyDescent="0.25">
      <c r="B38" s="1" t="s">
        <v>116</v>
      </c>
      <c r="C38" s="1" t="s">
        <v>12</v>
      </c>
      <c r="D38" s="25">
        <f>D36*M5</f>
        <v>1275267.5</v>
      </c>
      <c r="E38" s="25">
        <f>E36*M11</f>
        <v>1806584.9999999998</v>
      </c>
      <c r="F38" s="25">
        <f>F36*M16</f>
        <v>1870850</v>
      </c>
      <c r="G38" s="25">
        <f>G36*M21</f>
        <v>1782050</v>
      </c>
    </row>
    <row r="39" spans="1:7" x14ac:dyDescent="0.25">
      <c r="B39" s="1"/>
      <c r="C39" s="1"/>
    </row>
    <row r="40" spans="1:7" x14ac:dyDescent="0.25">
      <c r="B40" s="1"/>
      <c r="C40" s="1"/>
      <c r="D40" s="25"/>
      <c r="E40" s="25"/>
      <c r="F40" s="25"/>
      <c r="G40" s="25"/>
    </row>
    <row r="41" spans="1:7" ht="10.5" customHeight="1" x14ac:dyDescent="0.25">
      <c r="B41" s="1"/>
      <c r="C41" s="1"/>
      <c r="D41" s="25"/>
      <c r="E41" s="25"/>
      <c r="F41" s="25"/>
      <c r="G41" s="25"/>
    </row>
    <row r="42" spans="1:7" hidden="1" x14ac:dyDescent="0.25">
      <c r="B42" s="1"/>
      <c r="C42" s="1"/>
      <c r="D42" s="25"/>
      <c r="E42" s="25"/>
      <c r="F42" s="25"/>
      <c r="G42" s="25"/>
    </row>
    <row r="43" spans="1:7" hidden="1" x14ac:dyDescent="0.25">
      <c r="B43" s="1"/>
      <c r="C43" s="1"/>
      <c r="D43" s="11"/>
      <c r="E43" s="11"/>
      <c r="F43" s="11"/>
      <c r="G43" s="11"/>
    </row>
    <row r="44" spans="1:7" ht="13.5" hidden="1" customHeight="1" x14ac:dyDescent="0.25">
      <c r="B44" s="1"/>
      <c r="C44" s="1"/>
      <c r="D44" s="11"/>
      <c r="E44" s="11"/>
      <c r="F44" s="11"/>
      <c r="G44" s="11"/>
    </row>
    <row r="45" spans="1:7" hidden="1" x14ac:dyDescent="0.25">
      <c r="B45" s="1"/>
      <c r="C45" s="1"/>
      <c r="D45" s="25"/>
      <c r="E45" s="25"/>
      <c r="F45" s="25"/>
      <c r="G45" s="25"/>
    </row>
    <row r="46" spans="1:7" hidden="1" x14ac:dyDescent="0.25">
      <c r="B46" s="1"/>
      <c r="C46" s="1"/>
      <c r="D46" s="25"/>
      <c r="E46" s="25"/>
      <c r="F46" s="25"/>
      <c r="G46" s="25"/>
    </row>
    <row r="47" spans="1:7" hidden="1" x14ac:dyDescent="0.25">
      <c r="A47" s="60"/>
      <c r="B47" s="1"/>
      <c r="C47" s="1"/>
      <c r="D47" s="25"/>
      <c r="E47" s="25"/>
      <c r="F47" s="25"/>
      <c r="G47" s="25"/>
    </row>
    <row r="48" spans="1:7" hidden="1" x14ac:dyDescent="0.25">
      <c r="B48" s="1" t="s">
        <v>117</v>
      </c>
      <c r="C48" s="1" t="s">
        <v>110</v>
      </c>
      <c r="D48" s="9" t="e">
        <f>#REF!</f>
        <v>#REF!</v>
      </c>
      <c r="E48" s="9" t="e">
        <f>#REF!</f>
        <v>#REF!</v>
      </c>
      <c r="F48" s="9" t="e">
        <f>#REF!</f>
        <v>#REF!</v>
      </c>
      <c r="G48" s="9" t="e">
        <f>#REF!</f>
        <v>#REF!</v>
      </c>
    </row>
    <row r="49" spans="2:7" hidden="1" x14ac:dyDescent="0.25">
      <c r="B49" s="1" t="s">
        <v>118</v>
      </c>
      <c r="C49" s="1" t="s">
        <v>16</v>
      </c>
      <c r="D49">
        <v>900</v>
      </c>
      <c r="E49">
        <v>900</v>
      </c>
      <c r="F49">
        <v>900</v>
      </c>
      <c r="G49">
        <v>900</v>
      </c>
    </row>
    <row r="50" spans="2:7" hidden="1" x14ac:dyDescent="0.25">
      <c r="B50" s="1" t="s">
        <v>119</v>
      </c>
      <c r="C50" s="1" t="s">
        <v>12</v>
      </c>
      <c r="D50" t="e">
        <f>D47*D49*D48</f>
        <v>#REF!</v>
      </c>
      <c r="E50" t="e">
        <f t="shared" ref="E50:G50" si="2">E47*E49*E48</f>
        <v>#REF!</v>
      </c>
      <c r="F50" t="e">
        <f t="shared" si="2"/>
        <v>#REF!</v>
      </c>
      <c r="G50" s="25" t="e">
        <f t="shared" si="2"/>
        <v>#REF!</v>
      </c>
    </row>
    <row r="51" spans="2:7" hidden="1" x14ac:dyDescent="0.25"/>
    <row r="52" spans="2:7" hidden="1" x14ac:dyDescent="0.25">
      <c r="B52" s="32" t="s">
        <v>74</v>
      </c>
      <c r="C52" s="32" t="s">
        <v>12</v>
      </c>
      <c r="D52" s="33" t="e">
        <f>D50+#REF!</f>
        <v>#REF!</v>
      </c>
      <c r="E52" s="33" t="e">
        <f>E50+#REF!</f>
        <v>#REF!</v>
      </c>
      <c r="F52" s="33" t="e">
        <f>F50+#REF!</f>
        <v>#REF!</v>
      </c>
      <c r="G52" s="34" t="e">
        <f>G50+#REF!</f>
        <v>#REF!</v>
      </c>
    </row>
    <row r="53" spans="2:7" hidden="1" x14ac:dyDescent="0.25">
      <c r="B53" s="32" t="s">
        <v>83</v>
      </c>
      <c r="C53" s="32" t="s">
        <v>11</v>
      </c>
      <c r="D53" s="34" t="e">
        <f>D52/#REF!</f>
        <v>#REF!</v>
      </c>
      <c r="E53" s="34" t="e">
        <f>E52/#REF!</f>
        <v>#REF!</v>
      </c>
      <c r="F53" s="34" t="e">
        <f>F52/#REF!</f>
        <v>#REF!</v>
      </c>
      <c r="G53" s="34" t="e">
        <f>G52/#REF!</f>
        <v>#REF!</v>
      </c>
    </row>
    <row r="54" spans="2:7" hidden="1" x14ac:dyDescent="0.25">
      <c r="B54" s="32" t="s">
        <v>84</v>
      </c>
      <c r="C54" s="32" t="s">
        <v>64</v>
      </c>
      <c r="D54" s="34" t="e">
        <f>D52/J6</f>
        <v>#REF!</v>
      </c>
      <c r="E54" s="34" t="e">
        <f>E52/#REF!</f>
        <v>#REF!</v>
      </c>
      <c r="F54" s="34" t="e">
        <f>F52/#REF!</f>
        <v>#REF!</v>
      </c>
      <c r="G54" s="34" t="e">
        <f>G52/#REF!</f>
        <v>#REF!</v>
      </c>
    </row>
    <row r="55" spans="2:7" x14ac:dyDescent="0.25">
      <c r="B55" s="32" t="s">
        <v>66</v>
      </c>
      <c r="C55" s="32" t="s">
        <v>137</v>
      </c>
      <c r="D55" s="34">
        <f>D38/M6*0.1</f>
        <v>26.568072916666665</v>
      </c>
      <c r="E55" s="34">
        <f>E38/M12*0.1</f>
        <v>37.637187499999996</v>
      </c>
      <c r="F55" s="34">
        <f>F38/M17*0.1</f>
        <v>38.976041666666674</v>
      </c>
      <c r="G55" s="34">
        <f>G38/M22*0.1</f>
        <v>37.126041666666673</v>
      </c>
    </row>
  </sheetData>
  <mergeCells count="2">
    <mergeCell ref="D2:F2"/>
    <mergeCell ref="D5:F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topLeftCell="A3" workbookViewId="0">
      <selection activeCell="A3" sqref="A3"/>
    </sheetView>
  </sheetViews>
  <sheetFormatPr baseColWidth="10" defaultRowHeight="15" x14ac:dyDescent="0.25"/>
  <cols>
    <col min="1" max="1" width="9.5703125" customWidth="1"/>
    <col min="2" max="2" width="49.42578125" bestFit="1" customWidth="1"/>
    <col min="3" max="3" width="13.42578125" style="64" bestFit="1" customWidth="1"/>
    <col min="4" max="4" width="12.28515625" bestFit="1" customWidth="1"/>
    <col min="5" max="5" width="15" bestFit="1" customWidth="1"/>
    <col min="6" max="6" width="14.140625" bestFit="1" customWidth="1"/>
    <col min="7" max="7" width="14.5703125" customWidth="1"/>
  </cols>
  <sheetData>
    <row r="2" spans="1:7" ht="15.75" thickBot="1" x14ac:dyDescent="0.3">
      <c r="B2" s="10" t="s">
        <v>104</v>
      </c>
    </row>
    <row r="3" spans="1:7" x14ac:dyDescent="0.25">
      <c r="A3" s="74" t="s">
        <v>147</v>
      </c>
      <c r="B3" s="63" t="s">
        <v>96</v>
      </c>
      <c r="C3" s="65"/>
      <c r="D3" s="55" t="s">
        <v>4</v>
      </c>
      <c r="E3" s="56" t="s">
        <v>89</v>
      </c>
      <c r="F3" s="56" t="s">
        <v>89</v>
      </c>
      <c r="G3" s="56" t="s">
        <v>89</v>
      </c>
    </row>
    <row r="4" spans="1:7" ht="15.75" thickBot="1" x14ac:dyDescent="0.3">
      <c r="B4" s="62"/>
      <c r="C4" s="57" t="s">
        <v>3</v>
      </c>
      <c r="D4" s="4" t="s">
        <v>88</v>
      </c>
      <c r="E4" s="57" t="s">
        <v>90</v>
      </c>
      <c r="F4" s="57" t="s">
        <v>91</v>
      </c>
      <c r="G4" s="57" t="s">
        <v>92</v>
      </c>
    </row>
    <row r="5" spans="1:7" s="75" customFormat="1" x14ac:dyDescent="0.25">
      <c r="B5" s="75" t="s">
        <v>97</v>
      </c>
      <c r="C5" s="84" t="s">
        <v>141</v>
      </c>
      <c r="D5" s="75">
        <v>11</v>
      </c>
      <c r="E5" s="75">
        <v>15</v>
      </c>
      <c r="F5" s="75">
        <v>15</v>
      </c>
      <c r="G5" s="75">
        <v>15</v>
      </c>
    </row>
    <row r="6" spans="1:7" s="75" customFormat="1" x14ac:dyDescent="0.25">
      <c r="B6" s="75" t="s">
        <v>99</v>
      </c>
      <c r="C6" s="84" t="s">
        <v>102</v>
      </c>
      <c r="D6" s="75">
        <v>25</v>
      </c>
      <c r="E6" s="75">
        <v>25</v>
      </c>
      <c r="F6" s="75">
        <v>25</v>
      </c>
      <c r="G6" s="75">
        <v>25</v>
      </c>
    </row>
    <row r="7" spans="1:7" x14ac:dyDescent="0.25">
      <c r="B7" t="s">
        <v>139</v>
      </c>
      <c r="C7" s="64" t="s">
        <v>101</v>
      </c>
      <c r="D7" s="9">
        <f>1200/'Gebäudekosten Sauen inkl. FA'!D70</f>
        <v>40</v>
      </c>
      <c r="E7" s="9">
        <f>1200/'Gebäudekosten Sauen inkl. FA'!E70</f>
        <v>41.666666666666671</v>
      </c>
      <c r="F7" s="9">
        <f>1200/'Gebäudekosten Sauen inkl. FA'!F70</f>
        <v>41.666666666666671</v>
      </c>
      <c r="G7" s="9">
        <f>1200/'Gebäudekosten Sauen inkl. FA'!G70</f>
        <v>41.666666666666671</v>
      </c>
    </row>
    <row r="8" spans="1:7" x14ac:dyDescent="0.25">
      <c r="B8" t="s">
        <v>95</v>
      </c>
      <c r="C8" s="64" t="s">
        <v>101</v>
      </c>
      <c r="D8" s="9">
        <f>'Gebäudekosten Sauen inkl. FA'!D85</f>
        <v>15.398445092322644</v>
      </c>
      <c r="E8" s="9">
        <f>'Gebäudekosten Sauen inkl. FA'!E85</f>
        <v>23.978377065111765</v>
      </c>
      <c r="F8" s="9">
        <f>'Gebäudekosten Sauen inkl. FA'!F85</f>
        <v>24.652575315840625</v>
      </c>
      <c r="G8" s="9">
        <f>'Gebäudekosten Sauen inkl. FA'!G85</f>
        <v>23.361888213740311</v>
      </c>
    </row>
    <row r="9" spans="1:7" x14ac:dyDescent="0.25">
      <c r="B9" t="s">
        <v>98</v>
      </c>
      <c r="C9" s="64" t="s">
        <v>101</v>
      </c>
      <c r="D9" s="9">
        <f>D5*D6/'Gebäudekosten Sauen inkl. FA'!D70</f>
        <v>9.1666666666666661</v>
      </c>
      <c r="E9" s="9">
        <f>E5*E6/'Gebäudekosten Sauen inkl. FA'!E70</f>
        <v>13.020833333333334</v>
      </c>
      <c r="F9" s="9">
        <f>F5*F6/'Gebäudekosten Sauen inkl. FA'!F70</f>
        <v>13.020833333333334</v>
      </c>
      <c r="G9" s="9">
        <f>G5*G6/'Gebäudekosten Sauen inkl. FA'!G70</f>
        <v>13.020833333333334</v>
      </c>
    </row>
    <row r="10" spans="1:7" x14ac:dyDescent="0.25">
      <c r="B10" s="1" t="s">
        <v>100</v>
      </c>
      <c r="C10" s="64" t="s">
        <v>101</v>
      </c>
      <c r="D10" s="9">
        <f>SUM(D7:D9)</f>
        <v>64.565111758989318</v>
      </c>
      <c r="E10" s="9">
        <f>SUM(E7:E9)</f>
        <v>78.665877065111758</v>
      </c>
      <c r="F10" s="9">
        <f>SUM(F7:F9)</f>
        <v>79.340075315840622</v>
      </c>
      <c r="G10" s="9">
        <f>SUM(G7:G9)</f>
        <v>78.049388213740315</v>
      </c>
    </row>
    <row r="11" spans="1:7" x14ac:dyDescent="0.25">
      <c r="B11" s="66" t="s">
        <v>103</v>
      </c>
      <c r="C11" s="66" t="s">
        <v>101</v>
      </c>
      <c r="D11" s="59">
        <v>0</v>
      </c>
      <c r="E11" s="67">
        <f>E10-D10</f>
        <v>14.10076530612244</v>
      </c>
      <c r="F11" s="67">
        <f>F10-D10</f>
        <v>14.774963556851304</v>
      </c>
      <c r="G11" s="67">
        <f>G10-D10</f>
        <v>13.484276454750997</v>
      </c>
    </row>
    <row r="12" spans="1:7" ht="15.75" thickBot="1" x14ac:dyDescent="0.3">
      <c r="B12" s="66"/>
      <c r="C12" s="66"/>
      <c r="D12" s="59"/>
      <c r="E12" s="67"/>
      <c r="F12" s="67"/>
      <c r="G12" s="67"/>
    </row>
    <row r="13" spans="1:7" x14ac:dyDescent="0.25">
      <c r="A13" s="74" t="s">
        <v>106</v>
      </c>
      <c r="B13" s="63" t="s">
        <v>96</v>
      </c>
      <c r="C13" s="65"/>
      <c r="D13" s="55" t="s">
        <v>4</v>
      </c>
      <c r="E13" s="56"/>
      <c r="F13" s="56"/>
      <c r="G13" s="56"/>
    </row>
    <row r="14" spans="1:7" ht="15.75" thickBot="1" x14ac:dyDescent="0.3">
      <c r="B14" s="62"/>
      <c r="C14" s="57" t="s">
        <v>3</v>
      </c>
      <c r="D14" s="4"/>
      <c r="E14" s="57" t="s">
        <v>153</v>
      </c>
      <c r="F14" s="57" t="s">
        <v>138</v>
      </c>
      <c r="G14" s="57" t="s">
        <v>146</v>
      </c>
    </row>
    <row r="15" spans="1:7" s="75" customFormat="1" x14ac:dyDescent="0.25">
      <c r="B15" s="75" t="s">
        <v>140</v>
      </c>
      <c r="C15" s="84" t="s">
        <v>142</v>
      </c>
      <c r="D15" s="85">
        <v>1</v>
      </c>
      <c r="E15" s="75">
        <v>1.25</v>
      </c>
      <c r="F15" s="75">
        <v>1.25</v>
      </c>
      <c r="G15" s="75">
        <v>1.25</v>
      </c>
    </row>
    <row r="16" spans="1:7" s="75" customFormat="1" x14ac:dyDescent="0.25">
      <c r="B16" s="75" t="s">
        <v>99</v>
      </c>
      <c r="C16" s="84" t="s">
        <v>102</v>
      </c>
      <c r="D16" s="75">
        <v>25</v>
      </c>
      <c r="E16" s="75">
        <v>25</v>
      </c>
      <c r="F16" s="75">
        <v>25</v>
      </c>
      <c r="G16" s="75">
        <v>25</v>
      </c>
    </row>
    <row r="17" spans="2:7" x14ac:dyDescent="0.25">
      <c r="B17" t="s">
        <v>154</v>
      </c>
      <c r="C17" s="64" t="s">
        <v>143</v>
      </c>
      <c r="D17" s="9">
        <v>144</v>
      </c>
      <c r="E17" s="9">
        <v>145</v>
      </c>
      <c r="F17" s="9">
        <v>145</v>
      </c>
      <c r="G17" s="9">
        <v>145</v>
      </c>
    </row>
    <row r="18" spans="2:7" x14ac:dyDescent="0.25">
      <c r="B18" t="s">
        <v>145</v>
      </c>
      <c r="C18" s="64" t="s">
        <v>143</v>
      </c>
      <c r="D18" s="9">
        <f>'Gebäudekosten Mast'!D55</f>
        <v>26.568072916666665</v>
      </c>
      <c r="E18" s="9">
        <f>'Gebäudekosten Mast'!E55</f>
        <v>37.637187499999996</v>
      </c>
      <c r="F18" s="9">
        <f>'Gebäudekosten Mast'!F55</f>
        <v>38.976041666666674</v>
      </c>
      <c r="G18" s="9">
        <f>'Gebäudekosten Mast'!G55</f>
        <v>37.126041666666673</v>
      </c>
    </row>
    <row r="19" spans="2:7" x14ac:dyDescent="0.25">
      <c r="B19" t="s">
        <v>98</v>
      </c>
      <c r="C19" s="64" t="s">
        <v>143</v>
      </c>
      <c r="D19" s="9">
        <f>D15*D16*'Gebäudekosten Mast'!M5/'Gebäudekosten Mast'!M6</f>
        <v>8.3333333333333339</v>
      </c>
      <c r="E19" s="9">
        <f>E15*E16*'Gebäudekosten Mast'!M11/'Gebäudekosten Mast'!M12</f>
        <v>10.416666666666666</v>
      </c>
      <c r="F19" s="9">
        <f>F15*F16*'Gebäudekosten Mast'!M16/'Gebäudekosten Mast'!M17</f>
        <v>10.416666666666666</v>
      </c>
      <c r="G19" s="9">
        <f>Vollkosten!G15*Vollkosten!G16*'Gebäudekosten Mast'!M21/'Gebäudekosten Mast'!M22</f>
        <v>10.416666666666666</v>
      </c>
    </row>
    <row r="20" spans="2:7" x14ac:dyDescent="0.25">
      <c r="B20" s="1" t="s">
        <v>144</v>
      </c>
      <c r="C20" s="64" t="s">
        <v>143</v>
      </c>
      <c r="D20" s="9">
        <f>SUM(D17:D19)</f>
        <v>178.90140625000001</v>
      </c>
      <c r="E20" s="9">
        <f t="shared" ref="E20:G20" si="0">SUM(E17:E19)</f>
        <v>193.05385416666664</v>
      </c>
      <c r="F20" s="9">
        <f t="shared" si="0"/>
        <v>194.39270833333333</v>
      </c>
      <c r="G20" s="9">
        <f t="shared" si="0"/>
        <v>192.54270833333334</v>
      </c>
    </row>
    <row r="21" spans="2:7" x14ac:dyDescent="0.25">
      <c r="B21" s="66" t="s">
        <v>103</v>
      </c>
      <c r="C21" s="66" t="s">
        <v>143</v>
      </c>
      <c r="D21" s="59">
        <v>0</v>
      </c>
      <c r="E21" s="67">
        <f>E20-D20</f>
        <v>14.152447916666631</v>
      </c>
      <c r="F21" s="67">
        <f>F20-D20</f>
        <v>15.491302083333323</v>
      </c>
      <c r="G21" s="67">
        <f>G20-D20</f>
        <v>13.641302083333329</v>
      </c>
    </row>
    <row r="23" spans="2:7" x14ac:dyDescent="0.25">
      <c r="B23" s="1"/>
      <c r="D23" s="9"/>
      <c r="E23" s="9"/>
      <c r="F23" s="9"/>
      <c r="G23" s="9"/>
    </row>
    <row r="24" spans="2:7" x14ac:dyDescent="0.25">
      <c r="B24" s="66"/>
      <c r="E24" s="9"/>
      <c r="F24" s="9"/>
      <c r="G24" s="9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Gebäudekosten Sauen inkl. FA</vt:lpstr>
      <vt:lpstr>Gebäudekosten Mast</vt:lpstr>
      <vt:lpstr>Vollkosten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 G</dc:creator>
  <cp:lastModifiedBy>Winkel, Carolin</cp:lastModifiedBy>
  <dcterms:created xsi:type="dcterms:W3CDTF">2019-03-28T07:59:58Z</dcterms:created>
  <dcterms:modified xsi:type="dcterms:W3CDTF">2019-10-08T16:16:59Z</dcterms:modified>
</cp:coreProperties>
</file>